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F:\Clients\Collaboratory Prep Academy (29-7822)\"/>
    </mc:Choice>
  </mc:AlternateContent>
  <xr:revisionPtr revIDLastSave="0" documentId="13_ncr:1_{6B4338EA-866B-414A-8DF9-31963F10BB72}" xr6:coauthVersionLast="47" xr6:coauthVersionMax="47" xr10:uidLastSave="{00000000-0000-0000-0000-000000000000}"/>
  <bookViews>
    <workbookView xWindow="1290" yWindow="165" windowWidth="21585" windowHeight="11385" xr2:uid="{00000000-000D-0000-FFFF-FFFF00000000}"/>
  </bookViews>
  <sheets>
    <sheet name="Budget" sheetId="1" r:id="rId1"/>
    <sheet name="FEFP" sheetId="3" r:id="rId2"/>
    <sheet name="Salaries" sheetId="4" r:id="rId3"/>
  </sheets>
  <externalReferences>
    <externalReference r:id="rId4"/>
  </externalReference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Titles" localSheetId="0">Budget!$A:$E,Budget!$1:$1</definedName>
    <definedName name="QB_COLUMN_2921" localSheetId="0" hidden="1">Budget!$F$1</definedName>
    <definedName name="QB_COLUMN_29210" localSheetId="0" hidden="1">Budget!$O$1</definedName>
    <definedName name="QB_COLUMN_29211" localSheetId="0" hidden="1">Budget!$P$1</definedName>
    <definedName name="QB_COLUMN_29212" localSheetId="0" hidden="1">Budget!$Q$1</definedName>
    <definedName name="QB_COLUMN_2922" localSheetId="0" hidden="1">Budget!$G$1</definedName>
    <definedName name="QB_COLUMN_2923" localSheetId="0" hidden="1">Budget!$H$1</definedName>
    <definedName name="QB_COLUMN_2924" localSheetId="0" hidden="1">Budget!$I$1</definedName>
    <definedName name="QB_COLUMN_2925" localSheetId="0" hidden="1">Budget!$J$1</definedName>
    <definedName name="QB_COLUMN_2926" localSheetId="0" hidden="1">Budget!$K$1</definedName>
    <definedName name="QB_COLUMN_2927" localSheetId="0" hidden="1">Budget!$L$1</definedName>
    <definedName name="QB_COLUMN_2928" localSheetId="0" hidden="1">Budget!$M$1</definedName>
    <definedName name="QB_COLUMN_2929" localSheetId="0" hidden="1">Budget!$N$1</definedName>
    <definedName name="QB_COLUMN_2930" localSheetId="0" hidden="1">Budget!$R$1</definedName>
    <definedName name="QB_DATA_0" localSheetId="0" hidden="1">Budget!$4:$4,Budget!$5:$5,Budget!$6:$6,Budget!$7:$7,Budget!$8:$8,Budget!$9:$9,Budget!$10:$10,Budget!$11:$11,Budget!$12:$12,Budget!$13:$13,Budget!$14:$14,Budget!$15:$15,Budget!$16:$16,Budget!$17:$17,Budget!$18:$18,Budget!$19:$19</definedName>
    <definedName name="QB_DATA_1" localSheetId="0" hidden="1">Budget!$20:$20,Budget!$21:$21,Budget!$23:$23,Budget!#REF!,Budget!$25:$25,Budget!$26:$26,Budget!$29:$29,Budget!$30:$30,Budget!$31:$31,Budget!$34:$34,Budget!$35:$35,Budget!$36:$36,Budget!$37:$37,Budget!$43:$43,Budget!$44:$44,Budget!$45:$45</definedName>
    <definedName name="QB_DATA_2" localSheetId="0" hidden="1">Budget!$46:$46,Budget!$47:$47,Budget!$48:$48,Budget!$50:$50,Budget!$56:$56,Budget!$57:$57,Budget!#REF!,Budget!$60:$60,Budget!$63:$63,Budget!$66:$66,Budget!$69:$69,Budget!$70:$70,Budget!$71:$71,Budget!$72:$72,Budget!$73:$73,Budget!$74:$74</definedName>
    <definedName name="QB_DATA_3" localSheetId="0" hidden="1">Budget!$75:$75,Budget!$76:$76,Budget!$77:$77,Budget!$78:$78,Budget!$79:$79,Budget!$82:$82,Budget!$85:$85,Budget!$88:$88,Budget!$89:$89,Budget!$90:$90,Budget!$91:$91,Budget!$92:$92,Budget!$94:$94,Budget!$97:$97,Budget!$98:$98,Budget!$103:$103</definedName>
    <definedName name="QB_FORMULA_0" localSheetId="0" hidden="1">Budget!$R$4,Budget!$R$5,Budget!$R$6,Budget!$R$7,Budget!$R$8,Budget!$R$9,Budget!$R$10,Budget!$R$11,Budget!$R$12,Budget!$R$13,Budget!$R$14,Budget!$R$15,Budget!$R$16,Budget!$R$17,Budget!$R$18,Budget!$R$19</definedName>
    <definedName name="QB_FORMULA_1" localSheetId="0" hidden="1">Budget!$R$20,Budget!$R$21,Budget!$F$22,Budget!$G$22,Budget!$H$22,Budget!$I$22,Budget!$J$22,Budget!$K$22,Budget!$L$22,Budget!$M$22,Budget!$N$22,Budget!$O$22,Budget!$P$22,Budget!$Q$22,Budget!$R$22,Budget!$R$23</definedName>
    <definedName name="QB_FORMULA_10" localSheetId="0" hidden="1">Budget!$G$67,Budget!$H$67,Budget!$I$67,Budget!$J$67,Budget!$K$67,Budget!$L$67,Budget!$M$67,Budget!$N$67,Budget!$O$67,Budget!$P$67,Budget!$Q$67,Budget!$R$67,Budget!$R$69,Budget!$R$70,Budget!$R$71,Budget!$R$72</definedName>
    <definedName name="QB_FORMULA_11" localSheetId="0" hidden="1">Budget!$R$73,Budget!$R$74,Budget!$R$75,Budget!$R$76,Budget!$R$77,Budget!$R$78,Budget!$R$79,Budget!$F$80,Budget!$G$80,Budget!$H$80,Budget!$I$80,Budget!$J$80,Budget!$K$80,Budget!$L$80,Budget!$M$80,Budget!$N$80</definedName>
    <definedName name="QB_FORMULA_12" localSheetId="0" hidden="1">Budget!$O$80,Budget!$P$80,Budget!$Q$80,Budget!$R$80,Budget!$R$82,Budget!$F$83,Budget!$G$83,Budget!$H$83,Budget!$I$83,Budget!$J$83,Budget!$K$83,Budget!$L$83,Budget!$M$83,Budget!$N$83,Budget!$O$83,Budget!$P$83</definedName>
    <definedName name="QB_FORMULA_13" localSheetId="0" hidden="1">Budget!$Q$83,Budget!$R$83,Budget!$R$85,Budget!$F$86,Budget!$G$86,Budget!$H$86,Budget!$I$86,Budget!$J$86,Budget!$K$86,Budget!$L$86,Budget!$M$86,Budget!$N$86,Budget!$O$86,Budget!$P$86,Budget!$Q$86,Budget!$R$86</definedName>
    <definedName name="QB_FORMULA_14" localSheetId="0" hidden="1">Budget!$R$88,Budget!$R$89,Budget!$R$90,Budget!$R$91,Budget!$R$92,Budget!$R$94,Budget!$F$95,Budget!$G$95,Budget!$H$95,Budget!$I$95,Budget!$J$95,Budget!$K$95,Budget!$L$95,Budget!$M$95,Budget!$N$95,Budget!$O$95</definedName>
    <definedName name="QB_FORMULA_15" localSheetId="0" hidden="1">Budget!$P$95,Budget!$Q$95,Budget!$R$95,Budget!$R$97,Budget!$R$98,Budget!$F$99,Budget!$G$99,Budget!$H$99,Budget!$I$99,Budget!$J$99,Budget!$K$99,Budget!$L$99,Budget!$M$99,Budget!$N$99,Budget!$O$99,Budget!$P$99</definedName>
    <definedName name="QB_FORMULA_16" localSheetId="0" hidden="1">Budget!$Q$99,Budget!$R$99,Budget!$F$100,Budget!$G$100,Budget!$H$100,Budget!$I$100,Budget!$J$100,Budget!$K$100,Budget!$L$100,Budget!$M$100,Budget!$N$100,Budget!$O$100,Budget!$P$100,Budget!$Q$100,Budget!$R$100,Budget!$R$103</definedName>
    <definedName name="QB_FORMULA_17" localSheetId="0" hidden="1">Budget!$F$104,Budget!$G$104,Budget!$H$104,Budget!$I$104,Budget!$J$104,Budget!$K$104,Budget!$L$104,Budget!$M$104,Budget!$N$104,Budget!$O$104,Budget!$P$104,Budget!$Q$104,Budget!$R$104,Budget!$F$105,Budget!$G$105,Budget!$H$105</definedName>
    <definedName name="QB_FORMULA_18" localSheetId="0" hidden="1">Budget!$I$105,Budget!$J$105,Budget!$K$105,Budget!$L$105,Budget!$M$105,Budget!$N$105,Budget!$O$105,Budget!$P$105,Budget!$Q$105,Budget!$R$105,Budget!$F$106,Budget!$G$106,Budget!$H$106,Budget!$I$106,Budget!$J$106,Budget!$K$106</definedName>
    <definedName name="QB_FORMULA_19" localSheetId="0" hidden="1">Budget!$L$106,Budget!$M$106,Budget!$N$106,Budget!$O$106,Budget!$P$106,Budget!$Q$106,Budget!$R$106,Budget!$F$107,Budget!$G$107,Budget!$H$107,Budget!$I$107,Budget!$J$107,Budget!$K$107,Budget!$L$107,Budget!$M$107,Budget!$N$107</definedName>
    <definedName name="QB_FORMULA_2" localSheetId="0" hidden="1">Budget!#REF!,Budget!$R$25,Budget!$R$26,Budget!$F$27,Budget!$G$27,Budget!$H$27,Budget!$I$27,Budget!$J$27,Budget!$K$27,Budget!$L$27,Budget!$M$27,Budget!$N$27,Budget!$O$27,Budget!$P$27,Budget!$Q$27,Budget!$R$27</definedName>
    <definedName name="QB_FORMULA_20" localSheetId="0" hidden="1">Budget!$O$107,Budget!$P$107,Budget!$Q$107,Budget!$R$107</definedName>
    <definedName name="QB_FORMULA_3" localSheetId="0" hidden="1">Budget!$R$29,Budget!$R$30,Budget!$R$31,Budget!$F$32,Budget!$G$32,Budget!$H$32,Budget!$I$32,Budget!$J$32,Budget!$K$32,Budget!$L$32,Budget!$M$32,Budget!$N$32,Budget!$O$32,Budget!$P$32,Budget!$Q$32,Budget!$R$32</definedName>
    <definedName name="QB_FORMULA_4" localSheetId="0" hidden="1">Budget!$R$34,Budget!$R$35,Budget!$R$36,Budget!$R$37,Budget!$F$38,Budget!$G$38,Budget!$H$38,Budget!$I$38,Budget!$J$38,Budget!$K$38,Budget!$L$38,Budget!$M$38,Budget!$N$38,Budget!$O$38,Budget!$P$38,Budget!$Q$38</definedName>
    <definedName name="QB_FORMULA_5" localSheetId="0" hidden="1">Budget!$R$38,Budget!$F$39,Budget!$G$39,Budget!$H$39,Budget!$I$39,Budget!$J$39,Budget!$K$39,Budget!$L$39,Budget!$M$39,Budget!$N$39,Budget!$O$39,Budget!$P$39,Budget!$Q$39,Budget!$R$39,Budget!$R$43,Budget!$R$44</definedName>
    <definedName name="QB_FORMULA_6" localSheetId="0" hidden="1">Budget!$R$45,Budget!$R$46,Budget!$R$47,Budget!$R$48,Budget!$R$50,Budget!$F$51,Budget!$G$51,Budget!$H$51,Budget!$I$51,Budget!$J$51,Budget!$K$51,Budget!$L$51,Budget!$M$51,Budget!$N$51,Budget!$O$51,Budget!$P$51</definedName>
    <definedName name="QB_FORMULA_7" localSheetId="0" hidden="1">Budget!$Q$51,Budget!$R$51,Budget!$R$56,Budget!$R$57,Budget!$F$58,Budget!$G$58,Budget!$H$58,Budget!$I$58,Budget!$J$58,Budget!$K$58,Budget!$L$58,Budget!$M$58,Budget!$N$58,Budget!$O$58,Budget!$P$58,Budget!$Q$58</definedName>
    <definedName name="QB_FORMULA_8" localSheetId="0" hidden="1">Budget!$R$58,Budget!#REF!,Budget!$R$60,Budget!$F$61,Budget!$G$61,Budget!$H$61,Budget!$I$61,Budget!$J$61,Budget!$K$61,Budget!$L$61,Budget!$M$61,Budget!$N$61,Budget!$O$61,Budget!$P$61,Budget!$Q$61,Budget!$R$61</definedName>
    <definedName name="QB_FORMULA_9" localSheetId="0" hidden="1">Budget!$R$63,Budget!$F$64,Budget!$G$64,Budget!$H$64,Budget!$I$64,Budget!$J$64,Budget!$K$64,Budget!$L$64,Budget!$M$64,Budget!$N$64,Budget!$O$64,Budget!$P$64,Budget!$Q$64,Budget!$R$64,Budget!$R$66,Budget!$F$67</definedName>
    <definedName name="QB_ROW_18301" localSheetId="0" hidden="1">Budget!$A$107</definedName>
    <definedName name="QB_ROW_20012" localSheetId="0" hidden="1">Budget!$B$2</definedName>
    <definedName name="QB_ROW_20312" localSheetId="0" hidden="1">Budget!$B$39</definedName>
    <definedName name="QB_ROW_21012" localSheetId="0" hidden="1">Budget!$B$40</definedName>
    <definedName name="QB_ROW_21312" localSheetId="0" hidden="1">Budget!$B$106</definedName>
    <definedName name="QB_ROW_411020" localSheetId="0" hidden="1">Budget!$C$3</definedName>
    <definedName name="QB_ROW_411320" localSheetId="0" hidden="1">Budget!$C$22</definedName>
    <definedName name="QB_ROW_412230" localSheetId="0" hidden="1">Budget!$D$4</definedName>
    <definedName name="QB_ROW_413230" localSheetId="0" hidden="1">Budget!$D$5</definedName>
    <definedName name="QB_ROW_414230" localSheetId="0" hidden="1">Budget!$D$6</definedName>
    <definedName name="QB_ROW_415230" localSheetId="0" hidden="1">Budget!$D$7</definedName>
    <definedName name="QB_ROW_416230" localSheetId="0" hidden="1">Budget!$D$8</definedName>
    <definedName name="QB_ROW_417230" localSheetId="0" hidden="1">Budget!$D$9</definedName>
    <definedName name="QB_ROW_418230" localSheetId="0" hidden="1">Budget!$D$10</definedName>
    <definedName name="QB_ROW_423230" localSheetId="0" hidden="1">Budget!$D$12</definedName>
    <definedName name="QB_ROW_424230" localSheetId="0" hidden="1">Budget!$D$13</definedName>
    <definedName name="QB_ROW_425230" localSheetId="0" hidden="1">Budget!$D$15</definedName>
    <definedName name="QB_ROW_426230" localSheetId="0" hidden="1">Budget!$D$16</definedName>
    <definedName name="QB_ROW_429230" localSheetId="0" hidden="1">Budget!$D$17</definedName>
    <definedName name="QB_ROW_430230" localSheetId="0" hidden="1">Budget!$D$18</definedName>
    <definedName name="QB_ROW_432230" localSheetId="0" hidden="1">Budget!$D$19</definedName>
    <definedName name="QB_ROW_434230" localSheetId="0" hidden="1">Budget!$D$20</definedName>
    <definedName name="QB_ROW_435230" localSheetId="0" hidden="1">Budget!$D$21</definedName>
    <definedName name="QB_ROW_436220" localSheetId="0" hidden="1">Budget!$C$23</definedName>
    <definedName name="QB_ROW_439020" localSheetId="0" hidden="1">Budget!$C$24</definedName>
    <definedName name="QB_ROW_439320" localSheetId="0" hidden="1">Budget!$C$27</definedName>
    <definedName name="QB_ROW_440230" localSheetId="0" hidden="1">Budget!$D$25</definedName>
    <definedName name="QB_ROW_441230" localSheetId="0" hidden="1">Budget!$D$26</definedName>
    <definedName name="QB_ROW_443020" localSheetId="0" hidden="1">Budget!$C$28</definedName>
    <definedName name="QB_ROW_443320" localSheetId="0" hidden="1">Budget!$C$32</definedName>
    <definedName name="QB_ROW_445230" localSheetId="0" hidden="1">Budget!$D$29</definedName>
    <definedName name="QB_ROW_463230" localSheetId="0" hidden="1">Budget!$D$31</definedName>
    <definedName name="QB_ROW_475020" localSheetId="0" hidden="1">Budget!$C$33</definedName>
    <definedName name="QB_ROW_475230" localSheetId="0" hidden="1">Budget!$D$37</definedName>
    <definedName name="QB_ROW_475320" localSheetId="0" hidden="1">Budget!$C$38</definedName>
    <definedName name="QB_ROW_476230" localSheetId="0" hidden="1">Budget!$D$34</definedName>
    <definedName name="QB_ROW_483020" localSheetId="0" hidden="1">Budget!$C$41</definedName>
    <definedName name="QB_ROW_483320" localSheetId="0" hidden="1">Budget!$C$100</definedName>
    <definedName name="QB_ROW_484030" localSheetId="0" hidden="1">Budget!$D$42</definedName>
    <definedName name="QB_ROW_484330" localSheetId="0" hidden="1">Budget!$D$51</definedName>
    <definedName name="QB_ROW_485240" localSheetId="0" hidden="1">Budget!$E$43</definedName>
    <definedName name="QB_ROW_488240" localSheetId="0" hidden="1">Budget!$E$44</definedName>
    <definedName name="QB_ROW_490240" localSheetId="0" hidden="1">Budget!$E$45</definedName>
    <definedName name="QB_ROW_492240" localSheetId="0" hidden="1">Budget!$E$46</definedName>
    <definedName name="QB_ROW_494240" localSheetId="0" hidden="1">Budget!$E$47</definedName>
    <definedName name="QB_ROW_501240" localSheetId="0" hidden="1">Budget!$E$48</definedName>
    <definedName name="QB_ROW_506240" localSheetId="0" hidden="1">Budget!$E$50</definedName>
    <definedName name="QB_ROW_508030" localSheetId="0" hidden="1">Budget!$D$52</definedName>
    <definedName name="QB_ROW_508330" localSheetId="0" hidden="1">Budget!$D$58</definedName>
    <definedName name="QB_ROW_518240" localSheetId="0" hidden="1">Budget!$E$56</definedName>
    <definedName name="QB_ROW_520240" localSheetId="0" hidden="1">Budget!$E$57</definedName>
    <definedName name="QB_ROW_521330" localSheetId="0" hidden="1">Budget!#REF!</definedName>
    <definedName name="QB_ROW_523030" localSheetId="0" hidden="1">Budget!$D$59</definedName>
    <definedName name="QB_ROW_523330" localSheetId="0" hidden="1">Budget!$D$61</definedName>
    <definedName name="QB_ROW_532240" localSheetId="0" hidden="1">Budget!$E$60</definedName>
    <definedName name="QB_ROW_533030" localSheetId="0" hidden="1">Budget!$D$62</definedName>
    <definedName name="QB_ROW_533330" localSheetId="0" hidden="1">Budget!$D$64</definedName>
    <definedName name="QB_ROW_534240" localSheetId="0" hidden="1">Budget!$E$63</definedName>
    <definedName name="QB_ROW_536030" localSheetId="0" hidden="1">Budget!$D$68</definedName>
    <definedName name="QB_ROW_536330" localSheetId="0" hidden="1">Budget!$D$80</definedName>
    <definedName name="QB_ROW_537240" localSheetId="0" hidden="1">Budget!$E$69</definedName>
    <definedName name="QB_ROW_538240" localSheetId="0" hidden="1">Budget!$E$70</definedName>
    <definedName name="QB_ROW_540240" localSheetId="0" hidden="1">Budget!$E$71</definedName>
    <definedName name="QB_ROW_543240" localSheetId="0" hidden="1">Budget!$E$72</definedName>
    <definedName name="QB_ROW_547240" localSheetId="0" hidden="1">Budget!$E$74</definedName>
    <definedName name="QB_ROW_550240" localSheetId="0" hidden="1">Budget!$E$75</definedName>
    <definedName name="QB_ROW_552240" localSheetId="0" hidden="1">Budget!$E$77</definedName>
    <definedName name="QB_ROW_556240" localSheetId="0" hidden="1">Budget!$E$78</definedName>
    <definedName name="QB_ROW_558240" localSheetId="0" hidden="1">Budget!$E$79</definedName>
    <definedName name="QB_ROW_560240" localSheetId="0" hidden="1">Budget!$E$76</definedName>
    <definedName name="QB_ROW_566030" localSheetId="0" hidden="1">Budget!$D$81</definedName>
    <definedName name="QB_ROW_566330" localSheetId="0" hidden="1">Budget!$D$83</definedName>
    <definedName name="QB_ROW_567240" localSheetId="0" hidden="1">Budget!$E$82</definedName>
    <definedName name="QB_ROW_568240" localSheetId="0" hidden="1">Budget!$E$66</definedName>
    <definedName name="QB_ROW_573030" localSheetId="0" hidden="1">Budget!$D$84</definedName>
    <definedName name="QB_ROW_573330" localSheetId="0" hidden="1">Budget!$D$86</definedName>
    <definedName name="QB_ROW_581030" localSheetId="0" hidden="1">Budget!$D$87</definedName>
    <definedName name="QB_ROW_581330" localSheetId="0" hidden="1">Budget!$D$95</definedName>
    <definedName name="QB_ROW_591240" localSheetId="0" hidden="1">Budget!$E$88</definedName>
    <definedName name="QB_ROW_592240" localSheetId="0" hidden="1">Budget!$E$89</definedName>
    <definedName name="QB_ROW_595240" localSheetId="0" hidden="1">Budget!$E$91</definedName>
    <definedName name="QB_ROW_596240" localSheetId="0" hidden="1">Budget!$E$92</definedName>
    <definedName name="QB_ROW_599240" localSheetId="0" hidden="1">Budget!$E$94</definedName>
    <definedName name="QB_ROW_600030" localSheetId="0" hidden="1">Budget!$D$96</definedName>
    <definedName name="QB_ROW_600330" localSheetId="0" hidden="1">Budget!$D$99</definedName>
    <definedName name="QB_ROW_601240" localSheetId="0" hidden="1">Budget!$E$97</definedName>
    <definedName name="QB_ROW_602240" localSheetId="0" hidden="1">Budget!$E$98</definedName>
    <definedName name="QB_ROW_606020" localSheetId="0" hidden="1">Budget!$C$101</definedName>
    <definedName name="QB_ROW_606320" localSheetId="0" hidden="1">Budget!$C$105</definedName>
    <definedName name="QB_ROW_607030" localSheetId="0" hidden="1">Budget!$D$102</definedName>
    <definedName name="QB_ROW_607330" localSheetId="0" hidden="1">Budget!$D$104</definedName>
    <definedName name="QB_ROW_618240" localSheetId="0" hidden="1">Budget!$E$103</definedName>
    <definedName name="QB_ROW_676230" localSheetId="0" hidden="1">Budget!$D$30</definedName>
    <definedName name="QB_ROW_681230" localSheetId="0" hidden="1">Budget!$D$36</definedName>
    <definedName name="QB_ROW_682030" localSheetId="0" hidden="1">Budget!$D$65</definedName>
    <definedName name="QB_ROW_682330" localSheetId="0" hidden="1">Budget!$D$67</definedName>
    <definedName name="QB_ROW_687240" localSheetId="0" hidden="1">Budget!$E$90</definedName>
    <definedName name="QB_ROW_698230" localSheetId="0" hidden="1">Budget!$D$11</definedName>
    <definedName name="QB_ROW_699230" localSheetId="0" hidden="1">Budget!$D$14</definedName>
    <definedName name="QB_ROW_701240" localSheetId="0" hidden="1">Budget!$E$85</definedName>
    <definedName name="QB_ROW_712240" localSheetId="0" hidden="1">Budget!$E$73</definedName>
    <definedName name="QB_ROW_714230" localSheetId="0" hidden="1">Budget!$D$35</definedName>
    <definedName name="QB_ROW_715220" localSheetId="0" hidden="1">Budget!#REF!</definedName>
    <definedName name="QBCANSUPPORTUPDATE" localSheetId="0">TRUE</definedName>
    <definedName name="QBCOMPANYFILENAME" localSheetId="0">"Q:\Collaboratory Prep Academy (29-7822)\Collaboratory School Inc.qbw"</definedName>
    <definedName name="QBENDDATE" localSheetId="0">20210630</definedName>
    <definedName name="QBHEADERSONSCREEN" localSheetId="0">FALSE</definedName>
    <definedName name="QBMETADATASIZE" localSheetId="0">5924</definedName>
    <definedName name="QBPRESERVECOLOR" localSheetId="0">TRUE</definedName>
    <definedName name="QBPRESERVEFONT" localSheetId="0">TRUE</definedName>
    <definedName name="QBPRESERVEROWHEIGHT" localSheetId="0">TRUE</definedName>
    <definedName name="QBPRESERVESPACE" localSheetId="0">FALSE</definedName>
    <definedName name="QBREPORTCOLAXIS" localSheetId="0">6</definedName>
    <definedName name="QBREPORTCOMPANYID" localSheetId="0">"3d87ffe432c24acb9c311b9de14aa238"</definedName>
    <definedName name="QBREPORTCOMPARECOL_ANNUALBUDGET" localSheetId="0">FALSE</definedName>
    <definedName name="QBREPORTCOMPARECOL_AVGCOGS" localSheetId="0">FALSE</definedName>
    <definedName name="QBREPORTCOMPARECOL_AVGPRICE" localSheetId="0">FALSE</definedName>
    <definedName name="QBREPORTCOMPARECOL_BUDDIFF" localSheetId="0">FALSE</definedName>
    <definedName name="QBREPORTCOMPARECOL_BUDGET" localSheetId="0">FALSE</definedName>
    <definedName name="QBREPORTCOMPARECOL_BUDPCT" localSheetId="0">FALSE</definedName>
    <definedName name="QBREPORTCOMPARECOL_COGS" localSheetId="0">FALSE</definedName>
    <definedName name="QBREPORTCOMPARECOL_EXCLUDEAMOUNT" localSheetId="0">FALSE</definedName>
    <definedName name="QBREPORTCOMPARECOL_EXCLUDECURPERIOD" localSheetId="0">FALSE</definedName>
    <definedName name="QBREPORTCOMPARECOL_FORECAST" localSheetId="0">FALSE</definedName>
    <definedName name="QBREPORTCOMPARECOL_GROSSMARGIN" localSheetId="0">FALSE</definedName>
    <definedName name="QBREPORTCOMPARECOL_GROSSMARGINPCT" localSheetId="0">FALSE</definedName>
    <definedName name="QBREPORTCOMPARECOL_HOURS" localSheetId="0">FALSE</definedName>
    <definedName name="QBREPORTCOMPARECOL_PCTCOL" localSheetId="0">FALSE</definedName>
    <definedName name="QBREPORTCOMPARECOL_PCTEXPENSE" localSheetId="0">FALSE</definedName>
    <definedName name="QBREPORTCOMPARECOL_PCTINCOME" localSheetId="0">FALSE</definedName>
    <definedName name="QBREPORTCOMPARECOL_PCTOFSALES" localSheetId="0">FALSE</definedName>
    <definedName name="QBREPORTCOMPARECOL_PCTROW" localSheetId="0">FALSE</definedName>
    <definedName name="QBREPORTCOMPARECOL_PPDIFF" localSheetId="0">FALSE</definedName>
    <definedName name="QBREPORTCOMPARECOL_PPPCT" localSheetId="0">FALSE</definedName>
    <definedName name="QBREPORTCOMPARECOL_PREVPERIOD" localSheetId="0">FALSE</definedName>
    <definedName name="QBREPORTCOMPARECOL_PREVYEAR" localSheetId="0">FALSE</definedName>
    <definedName name="QBREPORTCOMPARECOL_PYDIFF" localSheetId="0">FALSE</definedName>
    <definedName name="QBREPORTCOMPARECOL_PYPCT" localSheetId="0">FALSE</definedName>
    <definedName name="QBREPORTCOMPARECOL_QTY" localSheetId="0">FALSE</definedName>
    <definedName name="QBREPORTCOMPARECOL_RATE" localSheetId="0">FALSE</definedName>
    <definedName name="QBREPORTCOMPARECOL_TRIPBILLEDMILES" localSheetId="0">FALSE</definedName>
    <definedName name="QBREPORTCOMPARECOL_TRIPBILLINGAMOUNT" localSheetId="0">FALSE</definedName>
    <definedName name="QBREPORTCOMPARECOL_TRIPMILES" localSheetId="0">FALSE</definedName>
    <definedName name="QBREPORTCOMPARECOL_TRIPNOTBILLABLEMILES" localSheetId="0">FALSE</definedName>
    <definedName name="QBREPORTCOMPARECOL_TRIPTAXDEDUCTIBLEAMOUNT" localSheetId="0">FALSE</definedName>
    <definedName name="QBREPORTCOMPARECOL_TRIPUNBILLEDMILES" localSheetId="0">FALSE</definedName>
    <definedName name="QBREPORTCOMPARECOL_YTD" localSheetId="0">FALSE</definedName>
    <definedName name="QBREPORTCOMPARECOL_YTDBUDGET" localSheetId="0">FALSE</definedName>
    <definedName name="QBREPORTCOMPARECOL_YTDPCT" localSheetId="0">FALSE</definedName>
    <definedName name="QBREPORTROWAXIS" localSheetId="0">11</definedName>
    <definedName name="QBREPORTSUBCOLAXIS" localSheetId="0">0</definedName>
    <definedName name="QBREPORTTYPE" localSheetId="0">0</definedName>
    <definedName name="QBROWHEADERS" localSheetId="0">5</definedName>
    <definedName name="QBSTARTDATE" localSheetId="0">20200701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94" i="1" l="1"/>
  <c r="L94" i="1"/>
  <c r="K94" i="1"/>
  <c r="I94" i="1"/>
  <c r="H94" i="1"/>
  <c r="G94" i="1"/>
  <c r="F94" i="1"/>
  <c r="F93" i="1"/>
  <c r="G92" i="1"/>
  <c r="F92" i="1"/>
  <c r="F91" i="1"/>
  <c r="F90" i="1"/>
  <c r="O82" i="1"/>
  <c r="L82" i="1"/>
  <c r="H82" i="1"/>
  <c r="F82" i="1"/>
  <c r="K50" i="1"/>
  <c r="L50" i="1" s="1"/>
  <c r="M50" i="1" s="1"/>
  <c r="N50" i="1" s="1"/>
  <c r="O50" i="1" s="1"/>
  <c r="P50" i="1" s="1"/>
  <c r="Q50" i="1" s="1"/>
  <c r="Q47" i="1"/>
  <c r="P47" i="1"/>
  <c r="O47" i="1"/>
  <c r="N47" i="1"/>
  <c r="M47" i="1"/>
  <c r="L47" i="1"/>
  <c r="K47" i="1"/>
  <c r="J47" i="1"/>
  <c r="I47" i="1"/>
  <c r="H47" i="1"/>
  <c r="G47" i="1"/>
  <c r="F47" i="1"/>
  <c r="J37" i="1"/>
  <c r="J35" i="1"/>
  <c r="J34" i="1"/>
  <c r="C26" i="4"/>
  <c r="F23" i="1"/>
  <c r="G93" i="1" l="1"/>
  <c r="C27" i="3"/>
  <c r="I91" i="3" s="1"/>
  <c r="H37" i="1"/>
  <c r="I37" i="1" s="1"/>
  <c r="K37" i="1" s="1"/>
  <c r="L37" i="1" s="1"/>
  <c r="M37" i="1" s="1"/>
  <c r="N37" i="1" s="1"/>
  <c r="O37" i="1" s="1"/>
  <c r="P37" i="1" s="1"/>
  <c r="Q37" i="1" s="1"/>
  <c r="F53" i="1"/>
  <c r="B20" i="4"/>
  <c r="K75" i="1"/>
  <c r="N75" i="1" s="1"/>
  <c r="Q75" i="1" s="1"/>
  <c r="Q72" i="1"/>
  <c r="P72" i="1"/>
  <c r="O72" i="1"/>
  <c r="N72" i="1"/>
  <c r="M72" i="1"/>
  <c r="L72" i="1"/>
  <c r="K72" i="1"/>
  <c r="J72" i="1"/>
  <c r="I72" i="1"/>
  <c r="H72" i="1"/>
  <c r="G72" i="1"/>
  <c r="F72" i="1"/>
  <c r="F69" i="1"/>
  <c r="H93" i="1" l="1"/>
  <c r="I93" i="1" s="1"/>
  <c r="K93" i="1" s="1"/>
  <c r="L93" i="1" s="1"/>
  <c r="M93" i="1" s="1"/>
  <c r="N93" i="1" s="1"/>
  <c r="O93" i="1" s="1"/>
  <c r="P93" i="1" s="1"/>
  <c r="R93" i="1"/>
  <c r="F54" i="1"/>
  <c r="G53" i="1"/>
  <c r="R55" i="1"/>
  <c r="C11" i="4"/>
  <c r="I49" i="1"/>
  <c r="J49" i="1" s="1"/>
  <c r="K49" i="1" s="1"/>
  <c r="L49" i="1" s="1"/>
  <c r="M49" i="1" s="1"/>
  <c r="N49" i="1" s="1"/>
  <c r="O49" i="1" s="1"/>
  <c r="P49" i="1" s="1"/>
  <c r="G54" i="1" l="1"/>
  <c r="H53" i="1"/>
  <c r="F43" i="1"/>
  <c r="R49" i="1"/>
  <c r="I53" i="1" l="1"/>
  <c r="H54" i="1"/>
  <c r="G97" i="1"/>
  <c r="H97" i="1" s="1"/>
  <c r="K97" i="1" s="1"/>
  <c r="L97" i="1" s="1"/>
  <c r="M97" i="1" s="1"/>
  <c r="N97" i="1" s="1"/>
  <c r="O97" i="1" s="1"/>
  <c r="P97" i="1" s="1"/>
  <c r="Q97" i="1" s="1"/>
  <c r="H92" i="1"/>
  <c r="I92" i="1" s="1"/>
  <c r="J92" i="1" s="1"/>
  <c r="K92" i="1" s="1"/>
  <c r="L92" i="1" s="1"/>
  <c r="M92" i="1" s="1"/>
  <c r="N92" i="1" s="1"/>
  <c r="O92" i="1" s="1"/>
  <c r="P92" i="1" s="1"/>
  <c r="G91" i="1"/>
  <c r="H91" i="1" s="1"/>
  <c r="I91" i="1" s="1"/>
  <c r="K91" i="1" s="1"/>
  <c r="L91" i="1" s="1"/>
  <c r="M91" i="1" s="1"/>
  <c r="N91" i="1" s="1"/>
  <c r="O91" i="1" s="1"/>
  <c r="P91" i="1" s="1"/>
  <c r="Q91" i="1" s="1"/>
  <c r="H78" i="1"/>
  <c r="K78" i="1" s="1"/>
  <c r="L78" i="1" s="1"/>
  <c r="M78" i="1" s="1"/>
  <c r="N78" i="1" s="1"/>
  <c r="O78" i="1" s="1"/>
  <c r="P78" i="1" s="1"/>
  <c r="K73" i="1"/>
  <c r="L73" i="1" s="1"/>
  <c r="M73" i="1" s="1"/>
  <c r="N73" i="1" s="1"/>
  <c r="O73" i="1" s="1"/>
  <c r="P73" i="1" s="1"/>
  <c r="Q73" i="1" s="1"/>
  <c r="G89" i="1"/>
  <c r="H89" i="1" s="1"/>
  <c r="I89" i="1" s="1"/>
  <c r="J89" i="1" s="1"/>
  <c r="K89" i="1" s="1"/>
  <c r="L89" i="1" s="1"/>
  <c r="M89" i="1" s="1"/>
  <c r="N89" i="1" s="1"/>
  <c r="O89" i="1" s="1"/>
  <c r="G88" i="1"/>
  <c r="H88" i="1" s="1"/>
  <c r="I88" i="1" s="1"/>
  <c r="J88" i="1" s="1"/>
  <c r="K88" i="1" s="1"/>
  <c r="L88" i="1" s="1"/>
  <c r="M88" i="1" s="1"/>
  <c r="N88" i="1" s="1"/>
  <c r="O88" i="1" s="1"/>
  <c r="P88" i="1" s="1"/>
  <c r="Q88" i="1" s="1"/>
  <c r="H56" i="1"/>
  <c r="K56" i="1" s="1"/>
  <c r="L56" i="1" s="1"/>
  <c r="M56" i="1" s="1"/>
  <c r="N56" i="1" s="1"/>
  <c r="O56" i="1" s="1"/>
  <c r="P56" i="1" s="1"/>
  <c r="H48" i="1"/>
  <c r="I48" i="1" s="1"/>
  <c r="J48" i="1" s="1"/>
  <c r="K48" i="1" s="1"/>
  <c r="L48" i="1" s="1"/>
  <c r="M48" i="1" s="1"/>
  <c r="N48" i="1" s="1"/>
  <c r="O48" i="1" s="1"/>
  <c r="P48" i="1" s="1"/>
  <c r="G46" i="1"/>
  <c r="H46" i="1" s="1"/>
  <c r="I46" i="1" s="1"/>
  <c r="J46" i="1" s="1"/>
  <c r="K46" i="1" s="1"/>
  <c r="L46" i="1" s="1"/>
  <c r="M46" i="1" s="1"/>
  <c r="N46" i="1" s="1"/>
  <c r="O46" i="1" s="1"/>
  <c r="P46" i="1" s="1"/>
  <c r="Q46" i="1" s="1"/>
  <c r="B11" i="4"/>
  <c r="B26" i="4"/>
  <c r="G90" i="1"/>
  <c r="H90" i="1" s="1"/>
  <c r="I90" i="1" s="1"/>
  <c r="K90" i="1" s="1"/>
  <c r="L90" i="1" s="1"/>
  <c r="M90" i="1" s="1"/>
  <c r="N90" i="1" s="1"/>
  <c r="O90" i="1" s="1"/>
  <c r="P90" i="1" s="1"/>
  <c r="Q90" i="1" s="1"/>
  <c r="G30" i="1"/>
  <c r="H30" i="1" s="1"/>
  <c r="I30" i="1" s="1"/>
  <c r="J30" i="1" s="1"/>
  <c r="K30" i="1" s="1"/>
  <c r="L30" i="1" s="1"/>
  <c r="M30" i="1" s="1"/>
  <c r="N30" i="1" s="1"/>
  <c r="O30" i="1" s="1"/>
  <c r="P30" i="1" s="1"/>
  <c r="Q30" i="1" s="1"/>
  <c r="J53" i="1" l="1"/>
  <c r="I54" i="1"/>
  <c r="G69" i="1"/>
  <c r="F71" i="1"/>
  <c r="F45" i="1"/>
  <c r="C20" i="4" l="1"/>
  <c r="K53" i="1"/>
  <c r="J54" i="1"/>
  <c r="B29" i="4"/>
  <c r="H69" i="1"/>
  <c r="G71" i="1"/>
  <c r="G43" i="1"/>
  <c r="L53" i="1" l="1"/>
  <c r="K54" i="1"/>
  <c r="G44" i="1"/>
  <c r="H44" i="1" s="1"/>
  <c r="I44" i="1" s="1"/>
  <c r="J44" i="1" s="1"/>
  <c r="K44" i="1" s="1"/>
  <c r="L44" i="1" s="1"/>
  <c r="C29" i="4"/>
  <c r="I69" i="1"/>
  <c r="H71" i="1"/>
  <c r="H43" i="1"/>
  <c r="G45" i="1"/>
  <c r="M44" i="1"/>
  <c r="M53" i="1" l="1"/>
  <c r="L54" i="1"/>
  <c r="I71" i="1"/>
  <c r="J69" i="1"/>
  <c r="I43" i="1"/>
  <c r="H45" i="1"/>
  <c r="N44" i="1"/>
  <c r="N53" i="1" l="1"/>
  <c r="M54" i="1"/>
  <c r="J71" i="1"/>
  <c r="K69" i="1"/>
  <c r="J43" i="1"/>
  <c r="I45" i="1"/>
  <c r="O44" i="1"/>
  <c r="O53" i="1" l="1"/>
  <c r="N54" i="1"/>
  <c r="L69" i="1"/>
  <c r="K71" i="1"/>
  <c r="K43" i="1"/>
  <c r="J45" i="1"/>
  <c r="P44" i="1"/>
  <c r="P53" i="1" l="1"/>
  <c r="O54" i="1"/>
  <c r="M69" i="1"/>
  <c r="L71" i="1"/>
  <c r="L43" i="1"/>
  <c r="K45" i="1"/>
  <c r="Q44" i="1"/>
  <c r="P54" i="1" l="1"/>
  <c r="Q53" i="1"/>
  <c r="Q54" i="1" s="1"/>
  <c r="R53" i="1"/>
  <c r="N69" i="1"/>
  <c r="M71" i="1"/>
  <c r="M43" i="1"/>
  <c r="L45" i="1"/>
  <c r="R54" i="1" l="1"/>
  <c r="N71" i="1"/>
  <c r="O69" i="1"/>
  <c r="N43" i="1"/>
  <c r="M45" i="1"/>
  <c r="P69" i="1" l="1"/>
  <c r="O71" i="1"/>
  <c r="O43" i="1"/>
  <c r="N45" i="1"/>
  <c r="Q69" i="1" l="1"/>
  <c r="P71" i="1"/>
  <c r="P43" i="1"/>
  <c r="O45" i="1"/>
  <c r="Q71" i="1" l="1"/>
  <c r="Q43" i="1"/>
  <c r="P45" i="1"/>
  <c r="Q45" i="1" l="1"/>
  <c r="I34" i="1" l="1"/>
  <c r="K34" i="1" s="1"/>
  <c r="L34" i="1" s="1"/>
  <c r="M34" i="1" s="1"/>
  <c r="N34" i="1" s="1"/>
  <c r="O34" i="1" s="1"/>
  <c r="P34" i="1" s="1"/>
  <c r="Q34" i="1" s="1"/>
  <c r="H35" i="1"/>
  <c r="I35" i="1" s="1"/>
  <c r="K35" i="1" s="1"/>
  <c r="L35" i="1" s="1"/>
  <c r="M35" i="1" s="1"/>
  <c r="N35" i="1" s="1"/>
  <c r="O35" i="1" s="1"/>
  <c r="P35" i="1" s="1"/>
  <c r="Q35" i="1" s="1"/>
  <c r="H26" i="1"/>
  <c r="I26" i="1" s="1"/>
  <c r="J26" i="1" s="1"/>
  <c r="K26" i="1" s="1"/>
  <c r="L26" i="1" s="1"/>
  <c r="M26" i="1" s="1"/>
  <c r="N26" i="1" s="1"/>
  <c r="O26" i="1" s="1"/>
  <c r="P26" i="1" s="1"/>
  <c r="H25" i="1"/>
  <c r="I25" i="1" s="1"/>
  <c r="J25" i="1" s="1"/>
  <c r="K25" i="1" s="1"/>
  <c r="L25" i="1" s="1"/>
  <c r="M25" i="1" s="1"/>
  <c r="N25" i="1" s="1"/>
  <c r="O25" i="1" s="1"/>
  <c r="P25" i="1" s="1"/>
  <c r="H92" i="3"/>
  <c r="G85" i="3"/>
  <c r="G84" i="3"/>
  <c r="E84" i="3"/>
  <c r="E85" i="3" s="1"/>
  <c r="G81" i="3"/>
  <c r="H81" i="3" s="1"/>
  <c r="G80" i="3"/>
  <c r="H80" i="3" s="1"/>
  <c r="E70" i="3"/>
  <c r="E67" i="3"/>
  <c r="G48" i="3"/>
  <c r="H48" i="3" s="1"/>
  <c r="G47" i="3"/>
  <c r="H47" i="3" s="1"/>
  <c r="G46" i="3"/>
  <c r="H46" i="3" s="1"/>
  <c r="G45" i="3"/>
  <c r="H45" i="3" s="1"/>
  <c r="G44" i="3"/>
  <c r="H44" i="3" s="1"/>
  <c r="G43" i="3"/>
  <c r="C43" i="3"/>
  <c r="G42" i="3"/>
  <c r="H42" i="3" s="1"/>
  <c r="G41" i="3"/>
  <c r="H41" i="3" s="1"/>
  <c r="G40" i="3"/>
  <c r="C40" i="3"/>
  <c r="E37" i="3"/>
  <c r="G26" i="3"/>
  <c r="G25" i="3"/>
  <c r="G24" i="3"/>
  <c r="G23" i="3"/>
  <c r="G22" i="3"/>
  <c r="G21" i="3"/>
  <c r="G20" i="3"/>
  <c r="G19" i="3"/>
  <c r="G18" i="3"/>
  <c r="G17" i="3"/>
  <c r="G16" i="3"/>
  <c r="G15" i="3"/>
  <c r="G14" i="3"/>
  <c r="G13" i="3"/>
  <c r="G12" i="3"/>
  <c r="G11" i="3"/>
  <c r="H35" i="3"/>
  <c r="H84" i="3" l="1"/>
  <c r="B76" i="3"/>
  <c r="H40" i="3"/>
  <c r="B74" i="3"/>
  <c r="G27" i="3"/>
  <c r="E38" i="3" s="1"/>
  <c r="C54" i="3" s="1"/>
  <c r="G55" i="3" s="1"/>
  <c r="G67" i="3" s="1"/>
  <c r="H67" i="3" s="1"/>
  <c r="G23" i="1"/>
  <c r="H23" i="1" s="1"/>
  <c r="I23" i="1" s="1"/>
  <c r="J23" i="1" s="1"/>
  <c r="K23" i="1" s="1"/>
  <c r="L23" i="1" s="1"/>
  <c r="M23" i="1" s="1"/>
  <c r="N23" i="1" s="1"/>
  <c r="O23" i="1" s="1"/>
  <c r="P23" i="1" s="1"/>
  <c r="Q23" i="1" s="1"/>
  <c r="M82" i="1"/>
  <c r="K82" i="1"/>
  <c r="J82" i="1"/>
  <c r="Q82" i="1"/>
  <c r="I82" i="1"/>
  <c r="G82" i="1"/>
  <c r="N82" i="1"/>
  <c r="P82" i="1"/>
  <c r="G86" i="3"/>
  <c r="H86" i="3" s="1"/>
  <c r="B75" i="3"/>
  <c r="C51" i="3"/>
  <c r="G52" i="3" s="1"/>
  <c r="G66" i="3" s="1"/>
  <c r="H66" i="3" s="1"/>
  <c r="H19" i="3"/>
  <c r="H31" i="3"/>
  <c r="H12" i="3"/>
  <c r="H20" i="3"/>
  <c r="H21" i="3"/>
  <c r="H14" i="3"/>
  <c r="H22" i="3"/>
  <c r="H43" i="3"/>
  <c r="H15" i="3"/>
  <c r="H23" i="3"/>
  <c r="H16" i="3"/>
  <c r="H24" i="3"/>
  <c r="H18" i="3"/>
  <c r="H26" i="3"/>
  <c r="H85" i="3"/>
  <c r="H87" i="3" s="1"/>
  <c r="H49" i="3"/>
  <c r="H11" i="3"/>
  <c r="H36" i="3"/>
  <c r="C75" i="3"/>
  <c r="C49" i="3"/>
  <c r="H30" i="3"/>
  <c r="H13" i="3"/>
  <c r="H17" i="3"/>
  <c r="H25" i="3"/>
  <c r="H32" i="3"/>
  <c r="C74" i="3"/>
  <c r="G74" i="3" s="1"/>
  <c r="C76" i="3"/>
  <c r="G76" i="3" s="1"/>
  <c r="H33" i="3"/>
  <c r="H34" i="3"/>
  <c r="G61" i="3" l="1"/>
  <c r="H61" i="3" s="1"/>
  <c r="B77" i="3"/>
  <c r="G70" i="3"/>
  <c r="H70" i="3" s="1"/>
  <c r="G68" i="3"/>
  <c r="H68" i="3" s="1"/>
  <c r="G69" i="3"/>
  <c r="H69" i="3" s="1"/>
  <c r="G60" i="3"/>
  <c r="H60" i="3" s="1"/>
  <c r="G59" i="3"/>
  <c r="H59" i="3" s="1"/>
  <c r="G65" i="3"/>
  <c r="H65" i="3" s="1"/>
  <c r="G58" i="3"/>
  <c r="H58" i="3" s="1"/>
  <c r="G56" i="3"/>
  <c r="H56" i="3" s="1"/>
  <c r="G75" i="3"/>
  <c r="H77" i="3" s="1"/>
  <c r="H37" i="3"/>
  <c r="H27" i="3"/>
  <c r="H38" i="3" l="1"/>
  <c r="H90" i="3" s="1"/>
  <c r="F4" i="1" l="1"/>
  <c r="G4" i="1" s="1"/>
  <c r="H4" i="1" s="1"/>
  <c r="I4" i="1" s="1"/>
  <c r="J4" i="1" s="1"/>
  <c r="K4" i="1" s="1"/>
  <c r="L4" i="1" s="1"/>
  <c r="M4" i="1" s="1"/>
  <c r="N4" i="1" s="1"/>
  <c r="O4" i="1" s="1"/>
  <c r="P4" i="1" s="1"/>
  <c r="Q4" i="1" s="1"/>
  <c r="I90" i="3"/>
  <c r="Q104" i="1"/>
  <c r="Q105" i="1" s="1"/>
  <c r="F104" i="1"/>
  <c r="F105" i="1" s="1"/>
  <c r="Q99" i="1"/>
  <c r="P99" i="1"/>
  <c r="O99" i="1"/>
  <c r="N99" i="1"/>
  <c r="M99" i="1"/>
  <c r="L99" i="1"/>
  <c r="K99" i="1"/>
  <c r="J99" i="1"/>
  <c r="I99" i="1"/>
  <c r="H99" i="1"/>
  <c r="G99" i="1"/>
  <c r="F99" i="1"/>
  <c r="R98" i="1"/>
  <c r="R97" i="1"/>
  <c r="Q95" i="1"/>
  <c r="P95" i="1"/>
  <c r="O95" i="1"/>
  <c r="N95" i="1"/>
  <c r="M95" i="1"/>
  <c r="L95" i="1"/>
  <c r="K95" i="1"/>
  <c r="J95" i="1"/>
  <c r="I95" i="1"/>
  <c r="H95" i="1"/>
  <c r="G95" i="1"/>
  <c r="F95" i="1"/>
  <c r="R94" i="1"/>
  <c r="R92" i="1"/>
  <c r="R91" i="1"/>
  <c r="R90" i="1"/>
  <c r="R89" i="1"/>
  <c r="R88" i="1"/>
  <c r="Q86" i="1"/>
  <c r="P86" i="1"/>
  <c r="O86" i="1"/>
  <c r="N86" i="1"/>
  <c r="M86" i="1"/>
  <c r="L86" i="1"/>
  <c r="K86" i="1"/>
  <c r="J86" i="1"/>
  <c r="I86" i="1"/>
  <c r="H86" i="1"/>
  <c r="G86" i="1"/>
  <c r="F86" i="1"/>
  <c r="R85" i="1"/>
  <c r="Q83" i="1"/>
  <c r="P83" i="1"/>
  <c r="O83" i="1"/>
  <c r="N83" i="1"/>
  <c r="M83" i="1"/>
  <c r="L83" i="1"/>
  <c r="K83" i="1"/>
  <c r="J83" i="1"/>
  <c r="I83" i="1"/>
  <c r="H83" i="1"/>
  <c r="G83" i="1"/>
  <c r="F83" i="1"/>
  <c r="R82" i="1"/>
  <c r="Q80" i="1"/>
  <c r="P80" i="1"/>
  <c r="O80" i="1"/>
  <c r="N80" i="1"/>
  <c r="M80" i="1"/>
  <c r="L80" i="1"/>
  <c r="K80" i="1"/>
  <c r="J80" i="1"/>
  <c r="I80" i="1"/>
  <c r="H80" i="1"/>
  <c r="G80" i="1"/>
  <c r="F80" i="1"/>
  <c r="R79" i="1"/>
  <c r="R78" i="1"/>
  <c r="R77" i="1"/>
  <c r="R76" i="1"/>
  <c r="R75" i="1"/>
  <c r="R74" i="1"/>
  <c r="R73" i="1"/>
  <c r="R72" i="1"/>
  <c r="R71" i="1"/>
  <c r="R70" i="1"/>
  <c r="R69" i="1"/>
  <c r="Q64" i="1"/>
  <c r="P64" i="1"/>
  <c r="O64" i="1"/>
  <c r="N64" i="1"/>
  <c r="M64" i="1"/>
  <c r="L64" i="1"/>
  <c r="K64" i="1"/>
  <c r="J64" i="1"/>
  <c r="I64" i="1"/>
  <c r="H64" i="1"/>
  <c r="G64" i="1"/>
  <c r="F64" i="1"/>
  <c r="R63" i="1"/>
  <c r="Q61" i="1"/>
  <c r="P61" i="1"/>
  <c r="O61" i="1"/>
  <c r="N61" i="1"/>
  <c r="M61" i="1"/>
  <c r="L61" i="1"/>
  <c r="K61" i="1"/>
  <c r="J61" i="1"/>
  <c r="I61" i="1"/>
  <c r="H61" i="1"/>
  <c r="G61" i="1"/>
  <c r="F61" i="1"/>
  <c r="R60" i="1"/>
  <c r="Q58" i="1"/>
  <c r="P58" i="1"/>
  <c r="O58" i="1"/>
  <c r="N58" i="1"/>
  <c r="M58" i="1"/>
  <c r="L58" i="1"/>
  <c r="K58" i="1"/>
  <c r="J58" i="1"/>
  <c r="I58" i="1"/>
  <c r="H58" i="1"/>
  <c r="G58" i="1"/>
  <c r="F58" i="1"/>
  <c r="R57" i="1"/>
  <c r="R56" i="1"/>
  <c r="Q51" i="1"/>
  <c r="P51" i="1"/>
  <c r="O51" i="1"/>
  <c r="N51" i="1"/>
  <c r="M51" i="1"/>
  <c r="L51" i="1"/>
  <c r="K51" i="1"/>
  <c r="J51" i="1"/>
  <c r="I51" i="1"/>
  <c r="H51" i="1"/>
  <c r="G51" i="1"/>
  <c r="F51" i="1"/>
  <c r="R50" i="1"/>
  <c r="R48" i="1"/>
  <c r="R47" i="1"/>
  <c r="R46" i="1"/>
  <c r="R45" i="1"/>
  <c r="R44" i="1"/>
  <c r="R43" i="1"/>
  <c r="Q38" i="1"/>
  <c r="P38" i="1"/>
  <c r="O38" i="1"/>
  <c r="N38" i="1"/>
  <c r="M38" i="1"/>
  <c r="L38" i="1"/>
  <c r="K38" i="1"/>
  <c r="J38" i="1"/>
  <c r="I38" i="1"/>
  <c r="H38" i="1"/>
  <c r="G38" i="1"/>
  <c r="F38" i="1"/>
  <c r="R37" i="1"/>
  <c r="R36" i="1"/>
  <c r="R35" i="1"/>
  <c r="R34" i="1"/>
  <c r="Q32" i="1"/>
  <c r="P32" i="1"/>
  <c r="O32" i="1"/>
  <c r="N32" i="1"/>
  <c r="M32" i="1"/>
  <c r="L32" i="1"/>
  <c r="K32" i="1"/>
  <c r="J32" i="1"/>
  <c r="I32" i="1"/>
  <c r="H32" i="1"/>
  <c r="G32" i="1"/>
  <c r="F32" i="1"/>
  <c r="R31" i="1"/>
  <c r="R30" i="1"/>
  <c r="R29" i="1"/>
  <c r="Q27" i="1"/>
  <c r="P27" i="1"/>
  <c r="P103" i="1" s="1"/>
  <c r="P104" i="1" s="1"/>
  <c r="P105" i="1" s="1"/>
  <c r="O27" i="1"/>
  <c r="O103" i="1" s="1"/>
  <c r="O104" i="1" s="1"/>
  <c r="O105" i="1" s="1"/>
  <c r="N27" i="1"/>
  <c r="N103" i="1" s="1"/>
  <c r="N104" i="1" s="1"/>
  <c r="N105" i="1" s="1"/>
  <c r="M27" i="1"/>
  <c r="M103" i="1" s="1"/>
  <c r="M104" i="1" s="1"/>
  <c r="M105" i="1" s="1"/>
  <c r="L27" i="1"/>
  <c r="L103" i="1" s="1"/>
  <c r="L104" i="1" s="1"/>
  <c r="L105" i="1" s="1"/>
  <c r="K27" i="1"/>
  <c r="K103" i="1" s="1"/>
  <c r="K104" i="1" s="1"/>
  <c r="K105" i="1" s="1"/>
  <c r="J27" i="1"/>
  <c r="J103" i="1" s="1"/>
  <c r="J104" i="1" s="1"/>
  <c r="J105" i="1" s="1"/>
  <c r="I27" i="1"/>
  <c r="I103" i="1" s="1"/>
  <c r="I104" i="1" s="1"/>
  <c r="I105" i="1" s="1"/>
  <c r="H27" i="1"/>
  <c r="H103" i="1" s="1"/>
  <c r="H104" i="1" s="1"/>
  <c r="H105" i="1" s="1"/>
  <c r="G27" i="1"/>
  <c r="G103" i="1" s="1"/>
  <c r="G104" i="1" s="1"/>
  <c r="G105" i="1" s="1"/>
  <c r="F27" i="1"/>
  <c r="R26" i="1"/>
  <c r="R25" i="1"/>
  <c r="R23" i="1"/>
  <c r="Q22" i="1"/>
  <c r="Q66" i="1" s="1"/>
  <c r="Q67" i="1" s="1"/>
  <c r="P22" i="1"/>
  <c r="P66" i="1" s="1"/>
  <c r="P67" i="1" s="1"/>
  <c r="O22" i="1"/>
  <c r="O66" i="1" s="1"/>
  <c r="O67" i="1" s="1"/>
  <c r="N22" i="1"/>
  <c r="N66" i="1" s="1"/>
  <c r="N67" i="1" s="1"/>
  <c r="M22" i="1"/>
  <c r="M66" i="1" s="1"/>
  <c r="M67" i="1" s="1"/>
  <c r="L22" i="1"/>
  <c r="L66" i="1" s="1"/>
  <c r="L67" i="1" s="1"/>
  <c r="K22" i="1"/>
  <c r="K66" i="1" s="1"/>
  <c r="K67" i="1" s="1"/>
  <c r="J22" i="1"/>
  <c r="J66" i="1" s="1"/>
  <c r="J67" i="1" s="1"/>
  <c r="I22" i="1"/>
  <c r="I66" i="1" s="1"/>
  <c r="I67" i="1" s="1"/>
  <c r="H22" i="1"/>
  <c r="H66" i="1" s="1"/>
  <c r="H67" i="1" s="1"/>
  <c r="G22" i="1"/>
  <c r="G66" i="1" s="1"/>
  <c r="G67" i="1" s="1"/>
  <c r="F22" i="1"/>
  <c r="F66" i="1" s="1"/>
  <c r="F67" i="1" s="1"/>
  <c r="R21" i="1"/>
  <c r="R20" i="1"/>
  <c r="R19" i="1"/>
  <c r="R18" i="1"/>
  <c r="R17" i="1"/>
  <c r="R16" i="1"/>
  <c r="R15" i="1"/>
  <c r="R14" i="1"/>
  <c r="R13" i="1"/>
  <c r="R12" i="1"/>
  <c r="R11" i="1"/>
  <c r="R10" i="1"/>
  <c r="R9" i="1"/>
  <c r="R8" i="1"/>
  <c r="R7" i="1"/>
  <c r="R6" i="1"/>
  <c r="R5" i="1"/>
  <c r="R4" i="1"/>
  <c r="R64" i="1" l="1"/>
  <c r="R99" i="1"/>
  <c r="R67" i="1"/>
  <c r="R103" i="1"/>
  <c r="R66" i="1"/>
  <c r="R80" i="1"/>
  <c r="R83" i="1"/>
  <c r="R86" i="1"/>
  <c r="M100" i="1"/>
  <c r="M106" i="1" s="1"/>
  <c r="L100" i="1"/>
  <c r="L106" i="1" s="1"/>
  <c r="R58" i="1"/>
  <c r="K100" i="1"/>
  <c r="K106" i="1" s="1"/>
  <c r="R61" i="1"/>
  <c r="R95" i="1"/>
  <c r="N100" i="1"/>
  <c r="N106" i="1" s="1"/>
  <c r="P100" i="1"/>
  <c r="P106" i="1" s="1"/>
  <c r="G100" i="1"/>
  <c r="G106" i="1" s="1"/>
  <c r="I100" i="1"/>
  <c r="I106" i="1" s="1"/>
  <c r="Q100" i="1"/>
  <c r="Q106" i="1" s="1"/>
  <c r="O100" i="1"/>
  <c r="O106" i="1" s="1"/>
  <c r="H100" i="1"/>
  <c r="H106" i="1" s="1"/>
  <c r="J100" i="1"/>
  <c r="J106" i="1" s="1"/>
  <c r="F100" i="1"/>
  <c r="F106" i="1" s="1"/>
  <c r="G39" i="1"/>
  <c r="R32" i="1"/>
  <c r="Q39" i="1"/>
  <c r="O39" i="1"/>
  <c r="P39" i="1"/>
  <c r="L39" i="1"/>
  <c r="M39" i="1"/>
  <c r="I39" i="1"/>
  <c r="J39" i="1"/>
  <c r="K39" i="1"/>
  <c r="H39" i="1"/>
  <c r="R27" i="1"/>
  <c r="R105" i="1"/>
  <c r="F39" i="1"/>
  <c r="N39" i="1"/>
  <c r="R104" i="1"/>
  <c r="R51" i="1"/>
  <c r="R38" i="1"/>
  <c r="R22" i="1"/>
  <c r="G107" i="1" l="1"/>
  <c r="M107" i="1"/>
  <c r="K107" i="1"/>
  <c r="N107" i="1"/>
  <c r="L107" i="1"/>
  <c r="R100" i="1"/>
  <c r="P107" i="1"/>
  <c r="O107" i="1"/>
  <c r="J107" i="1"/>
  <c r="I107" i="1"/>
  <c r="F107" i="1"/>
  <c r="Q107" i="1"/>
  <c r="H107" i="1"/>
  <c r="R39" i="1"/>
  <c r="R106" i="1"/>
  <c r="R107" i="1" l="1"/>
</calcChain>
</file>

<file path=xl/sharedStrings.xml><?xml version="1.0" encoding="utf-8"?>
<sst xmlns="http://schemas.openxmlformats.org/spreadsheetml/2006/main" count="321" uniqueCount="283">
  <si>
    <t>TOTAL</t>
  </si>
  <si>
    <t>Income</t>
  </si>
  <si>
    <t>110-R · General Operating</t>
  </si>
  <si>
    <t>3310000 · FEFP</t>
  </si>
  <si>
    <t>3310001 · Base Student Allocation</t>
  </si>
  <si>
    <t>3310002 · Discretionary Local Efforts</t>
  </si>
  <si>
    <t>3310003 · Mileage Compression</t>
  </si>
  <si>
    <t>3310004 · Discretionary Lottery</t>
  </si>
  <si>
    <t>3310005 · Supplemental Academic Instructi</t>
  </si>
  <si>
    <t>3310006 · ESE Guaranteed</t>
  </si>
  <si>
    <t>3310011 · Compression</t>
  </si>
  <si>
    <t>3310013 · Proration of Funds</t>
  </si>
  <si>
    <t>3310014 · Digital Classroom</t>
  </si>
  <si>
    <t>3310215 · Mental Health</t>
  </si>
  <si>
    <t>3310216 · Reading Allocation</t>
  </si>
  <si>
    <t>3310217 · Safe Schools</t>
  </si>
  <si>
    <t>3310220 · Teacher Salary Allocation</t>
  </si>
  <si>
    <t>3334579 · Teacher Lead Program</t>
  </si>
  <si>
    <t>3336215 · Instructional Materials</t>
  </si>
  <si>
    <t>3355216 · Class Size Reduction PK-3</t>
  </si>
  <si>
    <t>3355217 · Class Size Reduction 4-8</t>
  </si>
  <si>
    <t>Total 110-R · General Operating</t>
  </si>
  <si>
    <t>3397000 · Capital Outlay</t>
  </si>
  <si>
    <t>410-R · Food Services</t>
  </si>
  <si>
    <t>3261000 · Lunch Reimbursement (State)</t>
  </si>
  <si>
    <t>3262000 · Student Breakfast Reimbursement</t>
  </si>
  <si>
    <t>Total 410-R · Food Services</t>
  </si>
  <si>
    <t>411-R · Internal Revenue</t>
  </si>
  <si>
    <t>3492001 · Contributrions &amp; Donations</t>
  </si>
  <si>
    <t>3493000 · Interest Income</t>
  </si>
  <si>
    <t>3495000 · Miscellaneous Income</t>
  </si>
  <si>
    <t>Total 411-R · Internal Revenue</t>
  </si>
  <si>
    <t>421-R · Federal Grants</t>
  </si>
  <si>
    <t>3240313 · Title 1 Income</t>
  </si>
  <si>
    <t>421-R · Federal Grants - Other</t>
  </si>
  <si>
    <t>Total 421-R · Federal Grants</t>
  </si>
  <si>
    <t>Total Income</t>
  </si>
  <si>
    <t>Expense</t>
  </si>
  <si>
    <t>110-E · Expenditures</t>
  </si>
  <si>
    <t>5100000 · Instruction</t>
  </si>
  <si>
    <t>5100120 · Classroom Teachers</t>
  </si>
  <si>
    <t>5100160 · Other Support Services</t>
  </si>
  <si>
    <t>5100220 · FICA</t>
  </si>
  <si>
    <t>5100230 · Group Insurance</t>
  </si>
  <si>
    <t>5100250 · Unemployment Compensation</t>
  </si>
  <si>
    <t>5100510 · Classroom Supplies</t>
  </si>
  <si>
    <t>5100730 · Dues and Subscriptions</t>
  </si>
  <si>
    <t>Total 5100000 · Instruction</t>
  </si>
  <si>
    <t>5200000 · ESE Instruction</t>
  </si>
  <si>
    <t>5200310 · Prof and Tech</t>
  </si>
  <si>
    <t>5200510 · ESE Supplies</t>
  </si>
  <si>
    <t>Total 5200000 · ESE Instruction</t>
  </si>
  <si>
    <t>6300000 · Instruction &amp; Curriculum Develo</t>
  </si>
  <si>
    <t>6300510 · Curriculum Supplies</t>
  </si>
  <si>
    <t>Total 6300000 · Instruction &amp; Curriculum Develo</t>
  </si>
  <si>
    <t>7100000 · Board Expenses</t>
  </si>
  <si>
    <t>7100310 · Professional and Technical Serv</t>
  </si>
  <si>
    <t>Total 7100000 · Board Expenses</t>
  </si>
  <si>
    <t>7200000 · General Administration</t>
  </si>
  <si>
    <t>7200310 · District Administrative Fee</t>
  </si>
  <si>
    <t>Total 7200000 · General Administration</t>
  </si>
  <si>
    <t>7300000 · School Administration</t>
  </si>
  <si>
    <t>7300110 · Admin Salary</t>
  </si>
  <si>
    <t>7300160 · Administrtive support</t>
  </si>
  <si>
    <t>7300220 · FICA Admin</t>
  </si>
  <si>
    <t>7300250 · Unemployment Comp Admin</t>
  </si>
  <si>
    <t>7300310 · Prof and Tech Admin</t>
  </si>
  <si>
    <t>7300311 · Legal</t>
  </si>
  <si>
    <t>7300330 · Travel Costs</t>
  </si>
  <si>
    <t>7300390 · Bank Fees</t>
  </si>
  <si>
    <t>7300391 · Advertising</t>
  </si>
  <si>
    <t>7300510 · Office Supplies</t>
  </si>
  <si>
    <t>Total 7300000 · School Administration</t>
  </si>
  <si>
    <t>7500000 · Fiscal Services</t>
  </si>
  <si>
    <t>7500310 · Professional &amp; Technical Servic</t>
  </si>
  <si>
    <t>Total 7500000 · Fiscal Services</t>
  </si>
  <si>
    <t>7720000 · Information Services</t>
  </si>
  <si>
    <t>Total 7720000 · Information Services</t>
  </si>
  <si>
    <t>7900000 · Operations of the Plant</t>
  </si>
  <si>
    <t>7900310 · Payroll Expenses</t>
  </si>
  <si>
    <t>7900320 · Insurance and Bond Premium</t>
  </si>
  <si>
    <t>7900360 · Facilities Rental</t>
  </si>
  <si>
    <t>7900390 · Purchased Services</t>
  </si>
  <si>
    <t>7900391 · Security</t>
  </si>
  <si>
    <t>7900730 · Dues and Fees</t>
  </si>
  <si>
    <t>Total 7900000 · Operations of the Plant</t>
  </si>
  <si>
    <t>8100000 · Maintenance of Plant</t>
  </si>
  <si>
    <t>8100310 · Repair and Maintenance Prof and</t>
  </si>
  <si>
    <t>8100350 · Repairs and Maintenance</t>
  </si>
  <si>
    <t>Total 8100000 · Maintenance of Plant</t>
  </si>
  <si>
    <t>Total 110-E · Expenditures</t>
  </si>
  <si>
    <t>410-E · Food Service Expenditure</t>
  </si>
  <si>
    <t>7600000 · Food Service Expenses</t>
  </si>
  <si>
    <t>7600570 · Food</t>
  </si>
  <si>
    <t>Total 7600000 · Food Service Expenses</t>
  </si>
  <si>
    <t>Total 410-E · Food Service Expenditure</t>
  </si>
  <si>
    <t>Total Expense</t>
  </si>
  <si>
    <t>Net Income</t>
  </si>
  <si>
    <t>(Insert district number in cell A1, enter, then strike F9. Your district data then pulls from Calculation Detail Sheets)</t>
  </si>
  <si>
    <t xml:space="preserve"> Revenue Estimate Worksheet for___________Charter School </t>
  </si>
  <si>
    <t xml:space="preserve">School District: </t>
  </si>
  <si>
    <t>1.   2021-22 FEFP State and Local Funding</t>
  </si>
  <si>
    <t>Base Student Allocation</t>
  </si>
  <si>
    <t xml:space="preserve">District Cost Differential: </t>
  </si>
  <si>
    <t>2021-22</t>
  </si>
  <si>
    <t>Program</t>
  </si>
  <si>
    <t>Weighted FTE</t>
  </si>
  <si>
    <t>Base Funding</t>
  </si>
  <si>
    <t>Number of FTE</t>
  </si>
  <si>
    <t>Cost Factor</t>
  </si>
  <si>
    <t>(2) x (3)</t>
  </si>
  <si>
    <t>(WFTE x BSA x DCD)</t>
  </si>
  <si>
    <t>(1)</t>
  </si>
  <si>
    <t>(2)</t>
  </si>
  <si>
    <t>(3)</t>
  </si>
  <si>
    <t>(4)</t>
  </si>
  <si>
    <t>(5)</t>
  </si>
  <si>
    <t>101 Basic K-3</t>
  </si>
  <si>
    <t>111 Basic K-3 with ESE Services</t>
  </si>
  <si>
    <t>102 Basic 4-8</t>
  </si>
  <si>
    <t>112 Basic 4-8 with ESE Services</t>
  </si>
  <si>
    <t>103 Basic 9-12</t>
  </si>
  <si>
    <t>113 Basic 9-12 with ESE Services</t>
  </si>
  <si>
    <r>
      <t xml:space="preserve">254 ESE Level 4 </t>
    </r>
    <r>
      <rPr>
        <b/>
        <i/>
        <sz val="12"/>
        <rFont val="Times New Roman"/>
        <family val="1"/>
      </rPr>
      <t>(Grade Level PK-3</t>
    </r>
    <r>
      <rPr>
        <b/>
        <sz val="12"/>
        <rFont val="Times New Roman"/>
        <family val="1"/>
      </rPr>
      <t>)</t>
    </r>
  </si>
  <si>
    <r>
      <t xml:space="preserve">254 ESE Level 4 </t>
    </r>
    <r>
      <rPr>
        <b/>
        <i/>
        <sz val="12"/>
        <rFont val="Times New Roman"/>
        <family val="1"/>
      </rPr>
      <t>(Grade Level 4-8)</t>
    </r>
  </si>
  <si>
    <r>
      <t>254 ESE Level 4</t>
    </r>
    <r>
      <rPr>
        <b/>
        <i/>
        <sz val="12"/>
        <rFont val="Times New Roman"/>
        <family val="1"/>
      </rPr>
      <t xml:space="preserve"> (Grade Level 9-12)</t>
    </r>
  </si>
  <si>
    <r>
      <t xml:space="preserve">255 ESE Level 5 </t>
    </r>
    <r>
      <rPr>
        <b/>
        <i/>
        <sz val="12"/>
        <rFont val="Times New Roman"/>
        <family val="1"/>
      </rPr>
      <t>(Grade Level PK-3</t>
    </r>
    <r>
      <rPr>
        <b/>
        <sz val="12"/>
        <rFont val="Times New Roman"/>
        <family val="1"/>
      </rPr>
      <t>)</t>
    </r>
  </si>
  <si>
    <r>
      <t xml:space="preserve">255 ESE Level 5 </t>
    </r>
    <r>
      <rPr>
        <b/>
        <i/>
        <sz val="12"/>
        <rFont val="Times New Roman"/>
        <family val="1"/>
      </rPr>
      <t>(Grade Level 4-8)</t>
    </r>
  </si>
  <si>
    <r>
      <t>255 ESE Level 5</t>
    </r>
    <r>
      <rPr>
        <b/>
        <i/>
        <sz val="12"/>
        <rFont val="Times New Roman"/>
        <family val="1"/>
      </rPr>
      <t xml:space="preserve"> (Grade Level 9-12)</t>
    </r>
  </si>
  <si>
    <r>
      <t xml:space="preserve">130 ESOL </t>
    </r>
    <r>
      <rPr>
        <b/>
        <i/>
        <sz val="12"/>
        <rFont val="Times New Roman"/>
        <family val="1"/>
      </rPr>
      <t>(Grade Level PK-3)</t>
    </r>
  </si>
  <si>
    <r>
      <t xml:space="preserve">130 ESOL </t>
    </r>
    <r>
      <rPr>
        <b/>
        <i/>
        <sz val="12"/>
        <rFont val="Times New Roman"/>
        <family val="1"/>
      </rPr>
      <t>(Grade Level 4-8)</t>
    </r>
  </si>
  <si>
    <r>
      <t xml:space="preserve">130 ESOL </t>
    </r>
    <r>
      <rPr>
        <b/>
        <i/>
        <sz val="12"/>
        <rFont val="Times New Roman"/>
        <family val="1"/>
      </rPr>
      <t>(Grade Level 9-12)</t>
    </r>
  </si>
  <si>
    <r>
      <t xml:space="preserve">300 Career Education </t>
    </r>
    <r>
      <rPr>
        <b/>
        <i/>
        <sz val="12"/>
        <rFont val="Times New Roman"/>
        <family val="1"/>
      </rPr>
      <t>(Grades 9-12)</t>
    </r>
  </si>
  <si>
    <t>Totals</t>
  </si>
  <si>
    <t>Letters in Parentheses Refer to Notes at Bottom of Worksheet:</t>
  </si>
  <si>
    <t>Additional FTE (a)</t>
  </si>
  <si>
    <r>
      <t xml:space="preserve">Number of FTE
</t>
    </r>
    <r>
      <rPr>
        <i/>
        <sz val="9"/>
        <color indexed="10"/>
        <rFont val="Times New Roman"/>
        <family val="1"/>
      </rPr>
      <t>Charter schools should contact their school district sponsor regarding eligible FTE. Please note that “Number of FTE” is NOT equivalent to number of students enrolled in these courses or programs. Please refer to footnote (a) below.</t>
    </r>
  </si>
  <si>
    <t>2021-22                             Base Funding                          (WFTE x BSA x DCD)</t>
  </si>
  <si>
    <t>Advanced Placement</t>
  </si>
  <si>
    <t>International Baccalaureate</t>
  </si>
  <si>
    <t>Advanced International Certificate</t>
  </si>
  <si>
    <t>Industry Certified Career Education</t>
  </si>
  <si>
    <t>Early High School Graduation</t>
  </si>
  <si>
    <t>Small District ESE Supplement</t>
  </si>
  <si>
    <t>Dual Enrollment</t>
  </si>
  <si>
    <t>Total Additional FTE</t>
  </si>
  <si>
    <t>Additional Base Funds</t>
  </si>
  <si>
    <t xml:space="preserve">Total Funded Weighted FTE </t>
  </si>
  <si>
    <t>Total Base Funding</t>
  </si>
  <si>
    <t>2.   ESE Guaranteed Allocation:</t>
  </si>
  <si>
    <t>FTE</t>
  </si>
  <si>
    <t>Grade Level</t>
  </si>
  <si>
    <t>Matrix Level</t>
  </si>
  <si>
    <t>Guarantee Per Student</t>
  </si>
  <si>
    <t>Additional Funding from the ESE Guaranteed Allocation. Enter the FTE from 111,112 and 113 by grade and matrix level.  Students who do not have a matrix level should be considered 251.  This total should equal all FTE from programs 111, 112 and 113 above.</t>
  </si>
  <si>
    <t>PK-3</t>
  </si>
  <si>
    <t>4-8</t>
  </si>
  <si>
    <t>9-12</t>
  </si>
  <si>
    <t>Total FTE with ESE Services</t>
  </si>
  <si>
    <t>Total ESE Guarantee</t>
  </si>
  <si>
    <t>3A. Divide school's Unweighted FTE (UFTE) total computed in Section 1, cell C27 above by the district's total UFTE to obtain school's</t>
  </si>
  <si>
    <t xml:space="preserve"> UFTE share.           Charter School UFTE: </t>
  </si>
  <si>
    <t>÷</t>
  </si>
  <si>
    <t>District's Total UFTE:</t>
  </si>
  <si>
    <t>=</t>
  </si>
  <si>
    <t>3B. Divide school's Weighted FTE (WFTE) total computed in Section 1, cell E37 above by the district's total WFTE to obtain school's</t>
  </si>
  <si>
    <t xml:space="preserve"> WFTE share.          Charter School WFTE: </t>
  </si>
  <si>
    <t>District's Total WFTE:</t>
  </si>
  <si>
    <t>4.   Supplemental Academic Instruction (UFTE share)</t>
  </si>
  <si>
    <t>(b)</t>
  </si>
  <si>
    <t>x</t>
  </si>
  <si>
    <t>5.   Discretionary Millage Compression Allocation</t>
  </si>
  <si>
    <t>.748 Mills (UFTE share)</t>
  </si>
  <si>
    <t>6.   Digital Classrooms Allocation (UFTE share)</t>
  </si>
  <si>
    <t>(b)(d)</t>
  </si>
  <si>
    <t>7.   Safe Schools Allocation (UFTE share)</t>
  </si>
  <si>
    <t>8.   Instructional Materials Allocation (UFTE share)</t>
  </si>
  <si>
    <t>Dual Enrollment Instructional Materials Allocation</t>
  </si>
  <si>
    <t>(e)</t>
  </si>
  <si>
    <t xml:space="preserve">ESE Applications Allocation: </t>
  </si>
  <si>
    <t>Charter schools should contact their school district sponsor regarding eligibility and distribution of ESE Applications funds.</t>
  </si>
  <si>
    <t>9.  Mental Health Assistance Allocation (UFTE share)</t>
  </si>
  <si>
    <t>10.  Total Funds Compression Allocation (UFTE share)</t>
  </si>
  <si>
    <t>11.  Sparsity Supplement (WFTE share)</t>
  </si>
  <si>
    <t>(c)</t>
  </si>
  <si>
    <t>12.  Reading Allocation (WFTE share)</t>
  </si>
  <si>
    <t>13.  Discretionary Local Effort (WFTE share)</t>
  </si>
  <si>
    <t>14.  Proration to Funds Available (WFTE share)</t>
  </si>
  <si>
    <t>15. Teacher Salary Increase Allocation</t>
  </si>
  <si>
    <t>(f)</t>
  </si>
  <si>
    <t>16.  Class Size Reduction Funds:</t>
  </si>
  <si>
    <t>Weighted FTE (not including Add-On)</t>
  </si>
  <si>
    <r>
      <rPr>
        <b/>
        <sz val="12"/>
        <rFont val="Times New Roman"/>
        <family val="1"/>
      </rPr>
      <t xml:space="preserve">X          </t>
    </r>
    <r>
      <rPr>
        <b/>
        <u/>
        <sz val="12"/>
        <rFont val="Times New Roman"/>
        <family val="1"/>
      </rPr>
      <t>DCD</t>
    </r>
    <r>
      <rPr>
        <b/>
        <sz val="12"/>
        <rFont val="Times New Roman"/>
        <family val="1"/>
      </rPr>
      <t xml:space="preserve">         X</t>
    </r>
  </si>
  <si>
    <t>Allocation factors</t>
  </si>
  <si>
    <t>PK - 3</t>
  </si>
  <si>
    <r>
      <t xml:space="preserve">Total </t>
    </r>
    <r>
      <rPr>
        <b/>
        <sz val="12"/>
        <color indexed="30"/>
        <rFont val="Times New Roman"/>
        <family val="1"/>
      </rPr>
      <t>*</t>
    </r>
  </si>
  <si>
    <t>Total Class Size Reduction Funds</t>
  </si>
  <si>
    <t>(*Total FTE should equal total in Section 1, column (4) and should not include any additional FTE from Section 1.)</t>
  </si>
  <si>
    <t>17.  Student Transportation</t>
  </si>
  <si>
    <t>(g)</t>
  </si>
  <si>
    <t>Enter All Adjusted Fundable Riders</t>
  </si>
  <si>
    <t xml:space="preserve"> x</t>
  </si>
  <si>
    <t>Enter All Adjusted ESE Riders</t>
  </si>
  <si>
    <t>18.  Federally Connected Student Supplement</t>
  </si>
  <si>
    <t>(h)</t>
  </si>
  <si>
    <t>Impact Aid Student Type</t>
  </si>
  <si>
    <t>Number of Students</t>
  </si>
  <si>
    <t>Exempt Property Allocation</t>
  </si>
  <si>
    <t>Impact Aid Student Allocation</t>
  </si>
  <si>
    <t>Total</t>
  </si>
  <si>
    <t>Military and Indian Lands</t>
  </si>
  <si>
    <t>Civilians on Federal Lands</t>
  </si>
  <si>
    <t>Students with Disabilities</t>
  </si>
  <si>
    <t>19.  Florida Teachers Classroom Supply Assistance Program</t>
  </si>
  <si>
    <t>(i)</t>
  </si>
  <si>
    <t>20.  Food Service Allocation</t>
  </si>
  <si>
    <t>(j)</t>
  </si>
  <si>
    <t>21.  Funding for the purpose of calculating the administrative fee for ESE charter schools.</t>
  </si>
  <si>
    <t>(k)</t>
  </si>
  <si>
    <t>If you have more than a 75% ESE student population, please place a 1 in the following box:</t>
  </si>
  <si>
    <t>NOTES:</t>
  </si>
  <si>
    <t xml:space="preserve">(a) Additional FTE includes FTE earned through Advanced Placement, International Baccalaureate, Advanced International Certificate of Education, Industry Certified Career Education (CAPE), Early High School Graduation, the small district ESE Supplement and Dual Enrollment pursuant to s. 1011.62(1)(l-p), F.S. </t>
  </si>
  <si>
    <t>(b) District allocations multiplied by percentage from item 3A.</t>
  </si>
  <si>
    <t>(c) District allocations multiplied by percentage from item 3B.</t>
  </si>
  <si>
    <t>(d) The Digital Classroom Allocation is provided pursuant to s. 1011.62(12), F.S.</t>
  </si>
  <si>
    <t xml:space="preserve">(e) School districts are required to pay for instructional materials used for the instruction of public high school students who are earning credit toward high school graduation under the dual enrollment program as provided in s. 1011.62(1)(i), F.S.  </t>
  </si>
  <si>
    <t xml:space="preserve">(f) 80 percent of each district’s Teacher Salary Increase Allocation, pursuant to section 1011.62, F.S., is for school districts and charter schools to provide a minimum base salary of $47,500 or the maximum amount achievable for full-time classroom teachers as defined in s. 1012.01(2)(a), F.S., including pre-kindergarten teachers funded through the FEFP but not including substitute teachers. The remaining 20 percent of the allocation, plus any remaining funds from the district's share of the 80 percent allocation, shall be used by the school districts as specified in s. 1011.62, F.S., to provide salary increases to full-time classroom teachers that did not receive an increase, full-time classroom teachers who received an increase of less than 2 percent, or other instructional personnel. 
This allocation will be re-calculated in the 2021-22 FEFP Second Calculation and will not be recalculated throughout the year. Charter schools should contact their sponsoring school district to determine the school's allocation amount. </t>
  </si>
  <si>
    <t>(g)  Numbers entered here will be multiplied by the district level transportation funding per rider. "All Adjusted Fundable Riders" should include both basic and ESE Riders. "All Adjusted ESE Riders" should include only ESE Riders.</t>
  </si>
  <si>
    <t xml:space="preserve">(h) The Federally Connected Student Supplement provides additional funding for students on federal lands that receive Section 8003 impact aide pursuant to s. 1011.62(13), F.S. </t>
  </si>
  <si>
    <t>(i) Teacher Classroom Supply Assistance Program allocation pursuant to s. 1012.71, F.S., for certified teachers employed by a public school district or public charter school before September 1 of each year whose full-time or job-share responsibility is the classroom instruction of students in prekindergarten through grade 12, including full-time media specialists and certified school counselors serving students in prekindergarten through grade 12, who are funded through the FEFP.</t>
  </si>
  <si>
    <t xml:space="preserve">(j) Funding based on student eligibility and meals provided, if participating in the National School Lunch Program. </t>
  </si>
  <si>
    <t xml:space="preserve">(k) Consistent with s. 1002.33(20)(a), F.S., for charter schools with a population of 75% or more ESE students, the administrative fee shall be calculated based on unweighted full-time equivalent students. </t>
  </si>
  <si>
    <t>Administrative fees:</t>
  </si>
  <si>
    <t xml:space="preserve">Administrative fees charged by the school district pursuant to s. 1002.33(20)(a), F.S., shall be calculated based upon 5% of available funds from the FEFP and categorical funding for which charter students may be eligible. To calculate the administrative fee to be withheld for schools with more than 250 students, divide the school population into 250. Multiply that fraction times the funds available, then times 5%. For charter schools within a charter school system that meets the requirements in s. 1002.33(20)(a)2.a.(II), F.S., do the same calculation based for up to and including 500 students. </t>
  </si>
  <si>
    <t xml:space="preserve">For high performing charter schools, administrative fees charged by the school district shall be calculated based upon 2% of available funds from the FEFP and  categorical funding for which charter students may be eligible. To calculate the administrative fee to be withheld for schools with more than 250 students, divide the school population into 250. Multiply that fraction times the funds available, then times 2%.  </t>
  </si>
  <si>
    <t>Other:</t>
  </si>
  <si>
    <t>FEFP and categorical funding are recalculated during the year to reflect the revised number of full-time equivalent students reported during the survey periods designated by the Commissioner of Education.</t>
  </si>
  <si>
    <t>Revenues flow to districts from state sources and from county tax collectors on various distribution schedules.</t>
  </si>
  <si>
    <t>Annual</t>
  </si>
  <si>
    <t>Employee Name</t>
  </si>
  <si>
    <t>21/22</t>
  </si>
  <si>
    <t xml:space="preserve">7720640 · Computer </t>
  </si>
  <si>
    <t>Based on the 2022-23 FEFP Conference Calculation</t>
  </si>
  <si>
    <t xml:space="preserve">Increase </t>
  </si>
  <si>
    <t>ESE Specialist</t>
  </si>
  <si>
    <t>Data Processor</t>
  </si>
  <si>
    <t>5200120 · ESE Teachers</t>
  </si>
  <si>
    <t>Title IV</t>
  </si>
  <si>
    <t>ESSR III Grant</t>
  </si>
  <si>
    <t>Admin Fee</t>
  </si>
  <si>
    <t>&lt;250 students</t>
  </si>
  <si>
    <t>&gt;250 students</t>
  </si>
  <si>
    <t>Jul 23</t>
  </si>
  <si>
    <t>Aug 23</t>
  </si>
  <si>
    <t>Sep 23</t>
  </si>
  <si>
    <t>Oct 23</t>
  </si>
  <si>
    <t>Nov 23</t>
  </si>
  <si>
    <t>Dec 23</t>
  </si>
  <si>
    <t>Jan 24</t>
  </si>
  <si>
    <t>Feb 24</t>
  </si>
  <si>
    <t>Mar 24</t>
  </si>
  <si>
    <t>Apr 24</t>
  </si>
  <si>
    <t>May 24</t>
  </si>
  <si>
    <t>Jun 24</t>
  </si>
  <si>
    <t>Hillsborough</t>
  </si>
  <si>
    <t>Admin 1</t>
  </si>
  <si>
    <t>Admin 2</t>
  </si>
  <si>
    <t>23/24</t>
  </si>
  <si>
    <t>Teacher 1</t>
  </si>
  <si>
    <t>Teacher 2</t>
  </si>
  <si>
    <t>Teacher 3</t>
  </si>
  <si>
    <t>Teacher 4</t>
  </si>
  <si>
    <t>Teacher 5</t>
  </si>
  <si>
    <t>Teacher 6</t>
  </si>
  <si>
    <t>Support 1</t>
  </si>
  <si>
    <t>Support 2</t>
  </si>
  <si>
    <t>Support 3</t>
  </si>
  <si>
    <t>Support 4</t>
  </si>
  <si>
    <t>Support 5</t>
  </si>
  <si>
    <t>Support 6</t>
  </si>
  <si>
    <t>5100520 · Textbooks</t>
  </si>
  <si>
    <t>7300643 FFE Capitalized</t>
  </si>
  <si>
    <t>7900430 · Electricity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</si>
</sst>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quot;#,##0.00_);\(&quot;$&quot;#,##0.00\)"/>
    <numFmt numFmtId="44" formatCode="_(&quot;$&quot;* #,##0.00_);_(&quot;$&quot;* \(#,##0.00\);_(&quot;$&quot;* &quot;-&quot;??_);_(@_)"/>
    <numFmt numFmtId="164" formatCode="#,##0.00;\-#,##0.00"/>
    <numFmt numFmtId="165" formatCode="0.0000"/>
    <numFmt numFmtId="166" formatCode="0.000"/>
    <numFmt numFmtId="167" formatCode="_-&quot;$&quot;* #,##0.00_-;\-&quot;$&quot;* #,##0.00_-;_-&quot;$&quot;* &quot;-&quot;??_-;_-@_-"/>
    <numFmt numFmtId="168" formatCode="#,##0.0000"/>
    <numFmt numFmtId="169" formatCode="_-&quot;$&quot;* #,##0_-;\-&quot;$&quot;* #,##0_-;_-&quot;$&quot;* &quot;-&quot;??_-;_-@_-"/>
    <numFmt numFmtId="170" formatCode="0.0000%"/>
    <numFmt numFmtId="171" formatCode="_-* #,##0.00_-;\-* #,##0.00_-;_-* &quot;-&quot;??_-;_-@_-"/>
    <numFmt numFmtId="172" formatCode="0."/>
    <numFmt numFmtId="173" formatCode="&quot;$&quot;#,##0.00"/>
  </numFmts>
  <fonts count="25" x14ac:knownFonts="1">
    <font>
      <sz val="11"/>
      <color theme="1"/>
      <name val="Calibri"/>
      <family val="2"/>
      <scheme val="minor"/>
    </font>
    <font>
      <b/>
      <sz val="8"/>
      <color rgb="FF323232"/>
      <name val="Arial"/>
      <family val="2"/>
    </font>
    <font>
      <sz val="8"/>
      <color rgb="FF323232"/>
      <name val="Arial"/>
      <family val="2"/>
    </font>
    <font>
      <sz val="10"/>
      <name val="Arial"/>
    </font>
    <font>
      <b/>
      <sz val="12"/>
      <color indexed="10"/>
      <name val="Times New Roman"/>
      <family val="1"/>
    </font>
    <font>
      <b/>
      <sz val="12"/>
      <color indexed="12"/>
      <name val="Times New Roman"/>
      <family val="1"/>
    </font>
    <font>
      <b/>
      <sz val="12"/>
      <name val="Times New Roman"/>
      <family val="1"/>
    </font>
    <font>
      <b/>
      <sz val="16"/>
      <name val="Times New Roman"/>
      <family val="1"/>
    </font>
    <font>
      <b/>
      <sz val="14"/>
      <name val="Times New Roman"/>
      <family val="1"/>
    </font>
    <font>
      <sz val="12"/>
      <name val="Times New Roman"/>
      <family val="1"/>
    </font>
    <font>
      <sz val="10"/>
      <name val="Arial"/>
      <family val="2"/>
    </font>
    <font>
      <b/>
      <sz val="12"/>
      <color rgb="FFFF0000"/>
      <name val="Times New Roman"/>
      <family val="1"/>
    </font>
    <font>
      <b/>
      <i/>
      <sz val="12"/>
      <name val="Times New Roman"/>
      <family val="1"/>
    </font>
    <font>
      <b/>
      <sz val="12"/>
      <color rgb="FF00B050"/>
      <name val="Times New Roman"/>
      <family val="1"/>
    </font>
    <font>
      <i/>
      <sz val="9"/>
      <color indexed="10"/>
      <name val="Times New Roman"/>
      <family val="1"/>
    </font>
    <font>
      <b/>
      <sz val="12"/>
      <color indexed="8"/>
      <name val="Times New Roman"/>
      <family val="1"/>
    </font>
    <font>
      <b/>
      <sz val="12"/>
      <name val="Calibri"/>
      <family val="2"/>
    </font>
    <font>
      <b/>
      <u/>
      <sz val="12"/>
      <name val="Times New Roman"/>
      <family val="1"/>
    </font>
    <font>
      <b/>
      <sz val="12"/>
      <color indexed="30"/>
      <name val="Times New Roman"/>
      <family val="1"/>
    </font>
    <font>
      <i/>
      <sz val="12"/>
      <name val="Times New Roman"/>
      <family val="1"/>
    </font>
    <font>
      <b/>
      <sz val="10"/>
      <name val="Times New Roman"/>
      <family val="1"/>
    </font>
    <font>
      <b/>
      <u/>
      <sz val="10"/>
      <name val="Times New Roman"/>
      <family val="1"/>
    </font>
    <font>
      <b/>
      <i/>
      <sz val="10"/>
      <name val="Times New Roman"/>
      <family val="1"/>
    </font>
    <font>
      <sz val="12"/>
      <name val="Arial"/>
      <family val="2"/>
    </font>
    <font>
      <b/>
      <sz val="11"/>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rgb="FFFFFF00"/>
        <bgColor indexed="64"/>
      </patternFill>
    </fill>
  </fills>
  <borders count="14">
    <border>
      <left/>
      <right/>
      <top/>
      <bottom/>
      <diagonal/>
    </border>
    <border>
      <left/>
      <right/>
      <top/>
      <bottom style="thin">
        <color indexed="64"/>
      </bottom>
      <diagonal/>
    </border>
    <border>
      <left/>
      <right/>
      <top/>
      <bottom style="thick">
        <color indexed="64"/>
      </bottom>
      <diagonal/>
    </border>
    <border>
      <left/>
      <right/>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double">
        <color indexed="64"/>
      </bottom>
      <diagonal/>
    </border>
  </borders>
  <cellStyleXfs count="4">
    <xf numFmtId="0" fontId="0" fillId="0" borderId="0"/>
    <xf numFmtId="0" fontId="3" fillId="0" borderId="0"/>
    <xf numFmtId="167" fontId="10" fillId="0" borderId="0" applyFont="0" applyFill="0" applyBorder="0" applyAlignment="0" applyProtection="0"/>
    <xf numFmtId="171" fontId="10" fillId="0" borderId="0" applyFont="0" applyFill="0" applyBorder="0" applyAlignment="0" applyProtection="0"/>
  </cellStyleXfs>
  <cellXfs count="186">
    <xf numFmtId="0" fontId="0" fillId="0" borderId="0" xfId="0"/>
    <xf numFmtId="49" fontId="1" fillId="0" borderId="0" xfId="0" applyNumberFormat="1" applyFont="1"/>
    <xf numFmtId="164" fontId="2" fillId="0" borderId="0" xfId="0" applyNumberFormat="1" applyFont="1"/>
    <xf numFmtId="164" fontId="2" fillId="0" borderId="3" xfId="0" applyNumberFormat="1" applyFont="1" applyBorder="1"/>
    <xf numFmtId="164" fontId="2" fillId="0" borderId="0" xfId="0" applyNumberFormat="1" applyFont="1" applyBorder="1"/>
    <xf numFmtId="164" fontId="2" fillId="0" borderId="5" xfId="0" applyNumberFormat="1" applyFont="1" applyBorder="1"/>
    <xf numFmtId="164" fontId="2" fillId="0" borderId="6" xfId="0" applyNumberFormat="1" applyFont="1" applyBorder="1"/>
    <xf numFmtId="164" fontId="1" fillId="0" borderId="7" xfId="0" applyNumberFormat="1" applyFont="1" applyBorder="1"/>
    <xf numFmtId="0" fontId="1" fillId="0" borderId="0" xfId="0" applyFont="1"/>
    <xf numFmtId="49" fontId="1" fillId="0" borderId="0" xfId="0" applyNumberFormat="1" applyFont="1" applyAlignment="1">
      <alignment horizontal="center"/>
    </xf>
    <xf numFmtId="49" fontId="1" fillId="0" borderId="2" xfId="0" applyNumberFormat="1" applyFont="1" applyBorder="1" applyAlignment="1">
      <alignment horizontal="center"/>
    </xf>
    <xf numFmtId="0" fontId="0" fillId="0" borderId="0" xfId="0" applyAlignment="1">
      <alignment horizontal="center"/>
    </xf>
    <xf numFmtId="0" fontId="1" fillId="0" borderId="0" xfId="0" applyNumberFormat="1" applyFont="1"/>
    <xf numFmtId="0" fontId="0" fillId="0" borderId="0" xfId="0" applyNumberFormat="1"/>
    <xf numFmtId="0" fontId="4" fillId="0" borderId="8" xfId="0" applyFont="1" applyBorder="1"/>
    <xf numFmtId="0" fontId="6" fillId="0" borderId="0" xfId="0" applyFont="1"/>
    <xf numFmtId="0" fontId="7" fillId="0" borderId="0" xfId="0" applyFont="1" applyAlignment="1"/>
    <xf numFmtId="0" fontId="8" fillId="0" borderId="0" xfId="0" applyFont="1" applyAlignment="1"/>
    <xf numFmtId="4" fontId="5" fillId="0" borderId="0" xfId="0" applyNumberFormat="1" applyFont="1" applyAlignment="1"/>
    <xf numFmtId="4" fontId="6" fillId="0" borderId="0" xfId="0" applyNumberFormat="1" applyFont="1"/>
    <xf numFmtId="4" fontId="6" fillId="0" borderId="0" xfId="0" applyNumberFormat="1" applyFont="1" applyBorder="1"/>
    <xf numFmtId="0" fontId="9" fillId="0" borderId="0" xfId="0" applyFont="1" applyAlignment="1">
      <alignment horizontal="center"/>
    </xf>
    <xf numFmtId="7" fontId="0" fillId="0" borderId="0" xfId="0" applyNumberFormat="1" applyBorder="1" applyAlignment="1">
      <alignment horizontal="center"/>
    </xf>
    <xf numFmtId="166" fontId="6" fillId="0" borderId="0" xfId="0" applyNumberFormat="1" applyFont="1" applyBorder="1" applyAlignment="1">
      <alignment wrapText="1"/>
    </xf>
    <xf numFmtId="4" fontId="6" fillId="0" borderId="0" xfId="0" applyNumberFormat="1" applyFont="1" applyBorder="1" applyAlignment="1">
      <alignment horizontal="center" wrapText="1"/>
    </xf>
    <xf numFmtId="167" fontId="6" fillId="0" borderId="0" xfId="2" applyFont="1" applyBorder="1" applyAlignment="1">
      <alignment horizontal="center" wrapText="1"/>
    </xf>
    <xf numFmtId="4" fontId="6" fillId="0" borderId="1" xfId="0" applyNumberFormat="1" applyFont="1" applyBorder="1" applyAlignment="1">
      <alignment horizontal="center" wrapText="1"/>
    </xf>
    <xf numFmtId="167" fontId="6" fillId="0" borderId="1" xfId="2" applyFont="1" applyBorder="1" applyAlignment="1">
      <alignment horizontal="center" wrapText="1"/>
    </xf>
    <xf numFmtId="4" fontId="6" fillId="0" borderId="1" xfId="0" quotePrefix="1" applyNumberFormat="1" applyFont="1" applyBorder="1" applyAlignment="1">
      <alignment horizontal="center"/>
    </xf>
    <xf numFmtId="167" fontId="6" fillId="0" borderId="1" xfId="2" quotePrefix="1" applyFont="1" applyBorder="1" applyAlignment="1">
      <alignment horizontal="center"/>
    </xf>
    <xf numFmtId="168" fontId="6" fillId="0" borderId="1" xfId="0" applyNumberFormat="1" applyFont="1" applyBorder="1"/>
    <xf numFmtId="169" fontId="6" fillId="0" borderId="1" xfId="2" applyNumberFormat="1" applyFont="1" applyBorder="1"/>
    <xf numFmtId="169" fontId="6" fillId="0" borderId="11" xfId="2" applyNumberFormat="1" applyFont="1" applyBorder="1"/>
    <xf numFmtId="165" fontId="6" fillId="0" borderId="11" xfId="0" applyNumberFormat="1" applyFont="1" applyBorder="1"/>
    <xf numFmtId="169" fontId="6" fillId="0" borderId="0" xfId="2" applyNumberFormat="1" applyFont="1" applyBorder="1" applyAlignment="1">
      <alignment horizontal="center"/>
    </xf>
    <xf numFmtId="165" fontId="6" fillId="0" borderId="0" xfId="0" applyNumberFormat="1" applyFont="1" applyFill="1" applyBorder="1" applyAlignment="1">
      <alignment horizontal="right"/>
    </xf>
    <xf numFmtId="169" fontId="6" fillId="0" borderId="0" xfId="2" applyNumberFormat="1" applyFont="1" applyBorder="1"/>
    <xf numFmtId="165" fontId="13" fillId="0" borderId="0" xfId="0" applyNumberFormat="1" applyFont="1" applyFill="1" applyBorder="1" applyAlignment="1">
      <alignment horizontal="right"/>
    </xf>
    <xf numFmtId="169" fontId="6" fillId="0" borderId="8" xfId="2" applyNumberFormat="1" applyFont="1" applyBorder="1"/>
    <xf numFmtId="0" fontId="6" fillId="0" borderId="1" xfId="0" applyFont="1" applyBorder="1" applyAlignment="1"/>
    <xf numFmtId="0" fontId="6" fillId="0" borderId="1" xfId="0" applyFont="1" applyBorder="1" applyAlignment="1">
      <alignment horizontal="center" wrapText="1"/>
    </xf>
    <xf numFmtId="0" fontId="15" fillId="0" borderId="1" xfId="0" applyFont="1" applyBorder="1" applyAlignment="1">
      <alignment horizontal="center" wrapText="1"/>
    </xf>
    <xf numFmtId="0" fontId="6" fillId="0" borderId="1" xfId="0" applyFont="1" applyBorder="1"/>
    <xf numFmtId="0" fontId="6" fillId="0" borderId="0" xfId="0" applyFont="1" applyBorder="1" applyAlignment="1">
      <alignment horizontal="center"/>
    </xf>
    <xf numFmtId="0" fontId="6" fillId="0" borderId="0" xfId="0" applyFont="1" applyAlignment="1">
      <alignment horizontal="center"/>
    </xf>
    <xf numFmtId="169" fontId="15" fillId="0" borderId="1" xfId="2" applyNumberFormat="1" applyFont="1" applyBorder="1"/>
    <xf numFmtId="169" fontId="6" fillId="0" borderId="1" xfId="0" applyNumberFormat="1" applyFont="1" applyBorder="1"/>
    <xf numFmtId="0" fontId="6" fillId="0" borderId="0" xfId="0" quotePrefix="1" applyFont="1" applyAlignment="1">
      <alignment horizontal="center"/>
    </xf>
    <xf numFmtId="169" fontId="6" fillId="0" borderId="10" xfId="2" applyNumberFormat="1" applyFont="1" applyBorder="1"/>
    <xf numFmtId="4" fontId="13" fillId="0" borderId="1" xfId="0" applyNumberFormat="1" applyFont="1" applyBorder="1" applyAlignment="1">
      <alignment horizontal="center"/>
    </xf>
    <xf numFmtId="0" fontId="16" fillId="0" borderId="0" xfId="0" applyFont="1" applyAlignment="1">
      <alignment horizontal="center"/>
    </xf>
    <xf numFmtId="166" fontId="6" fillId="0" borderId="0" xfId="0" applyNumberFormat="1" applyFont="1" applyAlignment="1"/>
    <xf numFmtId="166" fontId="6" fillId="0" borderId="0" xfId="0" applyNumberFormat="1" applyFont="1" applyAlignment="1">
      <alignment horizontal="right"/>
    </xf>
    <xf numFmtId="0" fontId="6" fillId="0" borderId="0" xfId="0" applyFont="1" applyAlignment="1">
      <alignment horizontal="left" indent="2"/>
    </xf>
    <xf numFmtId="0" fontId="6" fillId="0" borderId="0" xfId="0" applyFont="1" applyAlignment="1">
      <alignment horizontal="left" indent="3"/>
    </xf>
    <xf numFmtId="0" fontId="6" fillId="0" borderId="0" xfId="0" applyFont="1" applyAlignment="1"/>
    <xf numFmtId="0" fontId="9" fillId="0" borderId="0" xfId="0" quotePrefix="1" applyFont="1" applyBorder="1" applyAlignment="1">
      <alignment horizontal="center"/>
    </xf>
    <xf numFmtId="0" fontId="6" fillId="0" borderId="1" xfId="0" applyFont="1" applyBorder="1" applyAlignment="1">
      <alignment horizontal="left" indent="2"/>
    </xf>
    <xf numFmtId="0" fontId="9" fillId="0" borderId="1" xfId="0" quotePrefix="1" applyFont="1" applyBorder="1" applyAlignment="1">
      <alignment horizontal="center"/>
    </xf>
    <xf numFmtId="4" fontId="6" fillId="0" borderId="0" xfId="0" quotePrefix="1" applyNumberFormat="1" applyFont="1" applyAlignment="1">
      <alignment horizontal="center"/>
    </xf>
    <xf numFmtId="38" fontId="6" fillId="0" borderId="1" xfId="0" applyNumberFormat="1" applyFont="1" applyBorder="1"/>
    <xf numFmtId="170" fontId="6" fillId="0" borderId="0" xfId="0" applyNumberFormat="1" applyFont="1"/>
    <xf numFmtId="38" fontId="6" fillId="0" borderId="0" xfId="0" applyNumberFormat="1" applyFont="1" applyBorder="1"/>
    <xf numFmtId="3" fontId="6" fillId="0" borderId="1" xfId="0" applyNumberFormat="1" applyFont="1" applyBorder="1"/>
    <xf numFmtId="169" fontId="6" fillId="2" borderId="1" xfId="2" applyNumberFormat="1" applyFont="1" applyFill="1" applyBorder="1"/>
    <xf numFmtId="0" fontId="9" fillId="0" borderId="0" xfId="0" applyFont="1" applyAlignment="1">
      <alignment horizontal="left" indent="4"/>
    </xf>
    <xf numFmtId="3" fontId="6" fillId="0" borderId="1" xfId="0" applyNumberFormat="1" applyFont="1" applyFill="1" applyBorder="1"/>
    <xf numFmtId="3" fontId="6" fillId="0" borderId="10" xfId="0" applyNumberFormat="1" applyFont="1" applyFill="1" applyBorder="1"/>
    <xf numFmtId="0" fontId="6" fillId="0" borderId="0" xfId="0" applyFont="1" applyAlignment="1">
      <alignment horizontal="right"/>
    </xf>
    <xf numFmtId="165" fontId="6" fillId="0" borderId="0" xfId="0" applyNumberFormat="1" applyFont="1" applyBorder="1" applyAlignment="1">
      <alignment horizontal="center"/>
    </xf>
    <xf numFmtId="4" fontId="6" fillId="0" borderId="0" xfId="0" applyNumberFormat="1" applyFont="1" applyAlignment="1">
      <alignment horizontal="center"/>
    </xf>
    <xf numFmtId="0" fontId="6" fillId="0" borderId="0" xfId="0" quotePrefix="1" applyFont="1" applyBorder="1" applyAlignment="1">
      <alignment horizontal="center"/>
    </xf>
    <xf numFmtId="165" fontId="6" fillId="0" borderId="0" xfId="0" applyNumberFormat="1" applyFont="1" applyBorder="1"/>
    <xf numFmtId="16" fontId="6" fillId="0" borderId="0" xfId="0" quotePrefix="1" applyNumberFormat="1" applyFont="1" applyAlignment="1">
      <alignment horizontal="right"/>
    </xf>
    <xf numFmtId="0" fontId="6" fillId="0" borderId="0" xfId="0" applyFont="1" applyBorder="1" applyAlignment="1"/>
    <xf numFmtId="0" fontId="6" fillId="0" borderId="0" xfId="0" quotePrefix="1" applyFont="1" applyAlignment="1">
      <alignment horizontal="right"/>
    </xf>
    <xf numFmtId="165" fontId="6" fillId="0" borderId="3" xfId="0" applyNumberFormat="1" applyFont="1" applyBorder="1" applyAlignment="1">
      <alignment horizontal="center"/>
    </xf>
    <xf numFmtId="171" fontId="6" fillId="0" borderId="0" xfId="3" applyFont="1" applyBorder="1" applyAlignment="1">
      <alignment horizontal="right"/>
    </xf>
    <xf numFmtId="165" fontId="6" fillId="0" borderId="8" xfId="0" applyNumberFormat="1" applyFont="1" applyBorder="1" applyAlignment="1">
      <alignment horizontal="center"/>
    </xf>
    <xf numFmtId="4" fontId="6" fillId="0" borderId="0" xfId="0" applyNumberFormat="1" applyFont="1" applyAlignment="1">
      <alignment horizontal="left" indent="2"/>
    </xf>
    <xf numFmtId="38" fontId="6" fillId="0" borderId="0" xfId="0" quotePrefix="1" applyNumberFormat="1" applyFont="1" applyAlignment="1"/>
    <xf numFmtId="0" fontId="6" fillId="0" borderId="1" xfId="0" applyFont="1" applyBorder="1" applyAlignment="1">
      <alignment horizontal="center"/>
    </xf>
    <xf numFmtId="7" fontId="6" fillId="0" borderId="0" xfId="0" applyNumberFormat="1" applyFont="1" applyAlignment="1"/>
    <xf numFmtId="7" fontId="6" fillId="0" borderId="0" xfId="0" applyNumberFormat="1" applyFont="1" applyBorder="1" applyAlignment="1"/>
    <xf numFmtId="7" fontId="6" fillId="0" borderId="1" xfId="0" applyNumberFormat="1" applyFont="1" applyBorder="1" applyAlignment="1"/>
    <xf numFmtId="0" fontId="11" fillId="0" borderId="0" xfId="0" applyFont="1" applyAlignment="1"/>
    <xf numFmtId="169" fontId="6" fillId="0" borderId="8" xfId="0" applyNumberFormat="1" applyFont="1" applyBorder="1" applyAlignment="1"/>
    <xf numFmtId="3" fontId="6" fillId="0" borderId="0" xfId="0" quotePrefix="1" applyNumberFormat="1" applyFont="1" applyAlignment="1">
      <alignment horizontal="center"/>
    </xf>
    <xf numFmtId="169" fontId="6" fillId="0" borderId="13" xfId="0" applyNumberFormat="1" applyFont="1" applyBorder="1"/>
    <xf numFmtId="0" fontId="6" fillId="0" borderId="0" xfId="0" applyFont="1" applyAlignment="1">
      <alignment horizontal="left"/>
    </xf>
    <xf numFmtId="169" fontId="6" fillId="0" borderId="0" xfId="0" applyNumberFormat="1" applyFont="1" applyBorder="1"/>
    <xf numFmtId="0" fontId="11" fillId="2" borderId="1" xfId="0" applyFont="1" applyFill="1" applyBorder="1" applyAlignment="1"/>
    <xf numFmtId="0" fontId="20" fillId="0" borderId="0" xfId="0" applyFont="1"/>
    <xf numFmtId="0" fontId="10" fillId="0" borderId="0" xfId="0" applyFont="1"/>
    <xf numFmtId="0" fontId="20" fillId="0" borderId="0" xfId="0" applyFont="1" applyFill="1"/>
    <xf numFmtId="172" fontId="6" fillId="0" borderId="0" xfId="0" applyNumberFormat="1" applyFont="1" applyAlignment="1">
      <alignment horizontal="left"/>
    </xf>
    <xf numFmtId="0" fontId="23" fillId="0" borderId="0" xfId="0" applyFont="1"/>
    <xf numFmtId="4" fontId="0" fillId="0" borderId="0" xfId="0" applyNumberFormat="1"/>
    <xf numFmtId="4" fontId="24" fillId="0" borderId="0" xfId="0" applyNumberFormat="1" applyFont="1"/>
    <xf numFmtId="49" fontId="1" fillId="0" borderId="0" xfId="0" applyNumberFormat="1" applyFont="1" applyFill="1"/>
    <xf numFmtId="164" fontId="2" fillId="0" borderId="3" xfId="0" applyNumberFormat="1" applyFont="1" applyFill="1" applyBorder="1"/>
    <xf numFmtId="164" fontId="2" fillId="0" borderId="0" xfId="0" applyNumberFormat="1" applyFont="1" applyFill="1"/>
    <xf numFmtId="10" fontId="0" fillId="0" borderId="0" xfId="0" applyNumberFormat="1"/>
    <xf numFmtId="173" fontId="0" fillId="0" borderId="0" xfId="0" applyNumberFormat="1"/>
    <xf numFmtId="44" fontId="0" fillId="0" borderId="0" xfId="0" applyNumberFormat="1"/>
    <xf numFmtId="0" fontId="9" fillId="0" borderId="0" xfId="0" applyFont="1" applyAlignment="1">
      <alignment horizontal="center"/>
    </xf>
    <xf numFmtId="7" fontId="9" fillId="0" borderId="0" xfId="0" applyNumberFormat="1" applyFont="1" applyBorder="1" applyAlignment="1">
      <alignment horizontal="center"/>
    </xf>
    <xf numFmtId="0" fontId="9" fillId="0" borderId="0" xfId="0" applyFont="1" applyAlignment="1">
      <alignment horizontal="left"/>
    </xf>
    <xf numFmtId="165" fontId="9" fillId="0" borderId="0" xfId="0" applyNumberFormat="1" applyFont="1" applyAlignment="1">
      <alignment horizontal="left"/>
    </xf>
    <xf numFmtId="166" fontId="6" fillId="0" borderId="0" xfId="0" applyNumberFormat="1" applyFont="1" applyBorder="1" applyAlignment="1">
      <alignment horizontal="center" wrapText="1"/>
    </xf>
    <xf numFmtId="0" fontId="6" fillId="0" borderId="1" xfId="0" applyFont="1" applyBorder="1" applyAlignment="1">
      <alignment horizontal="left" wrapText="1"/>
    </xf>
    <xf numFmtId="0" fontId="4" fillId="0" borderId="1" xfId="0" applyFont="1" applyBorder="1" applyAlignment="1">
      <alignment horizontal="center" wrapText="1"/>
    </xf>
    <xf numFmtId="166" fontId="6" fillId="0" borderId="1" xfId="0" applyNumberFormat="1" applyFont="1" applyBorder="1" applyAlignment="1">
      <alignment horizontal="center" wrapText="1"/>
    </xf>
    <xf numFmtId="0" fontId="5" fillId="0" borderId="9" xfId="0" applyFont="1" applyBorder="1" applyAlignment="1">
      <alignment horizontal="left"/>
    </xf>
    <xf numFmtId="0" fontId="5" fillId="0" borderId="0" xfId="0" applyFont="1" applyBorder="1" applyAlignment="1">
      <alignment horizontal="left"/>
    </xf>
    <xf numFmtId="0" fontId="5" fillId="0" borderId="0" xfId="0" applyFont="1" applyAlignment="1">
      <alignment horizontal="left"/>
    </xf>
    <xf numFmtId="0" fontId="7" fillId="0" borderId="0" xfId="0" applyFont="1" applyAlignment="1">
      <alignment horizontal="center"/>
    </xf>
    <xf numFmtId="0" fontId="6" fillId="0" borderId="0" xfId="0" applyFont="1" applyAlignment="1">
      <alignment horizontal="center"/>
    </xf>
    <xf numFmtId="4" fontId="6" fillId="0" borderId="0" xfId="0" applyNumberFormat="1" applyFont="1" applyAlignment="1">
      <alignment horizontal="left" indent="2"/>
    </xf>
    <xf numFmtId="4" fontId="5" fillId="0" borderId="0" xfId="0" applyNumberFormat="1" applyFont="1" applyAlignment="1">
      <alignment horizontal="left"/>
    </xf>
    <xf numFmtId="4" fontId="6" fillId="0" borderId="0" xfId="0" applyNumberFormat="1" applyFont="1" applyAlignment="1">
      <alignment horizontal="left"/>
    </xf>
    <xf numFmtId="0" fontId="6" fillId="0" borderId="0" xfId="0" applyFont="1" applyAlignment="1">
      <alignment horizontal="left" indent="3"/>
    </xf>
    <xf numFmtId="2" fontId="11" fillId="2" borderId="11" xfId="0" applyNumberFormat="1" applyFont="1" applyFill="1" applyBorder="1" applyAlignment="1">
      <alignment horizontal="center"/>
    </xf>
    <xf numFmtId="166" fontId="6" fillId="0" borderId="0" xfId="0" applyNumberFormat="1" applyFont="1" applyAlignment="1">
      <alignment horizontal="center"/>
    </xf>
    <xf numFmtId="0" fontId="6" fillId="0" borderId="1" xfId="0" quotePrefix="1" applyFont="1" applyBorder="1" applyAlignment="1">
      <alignment horizontal="center"/>
    </xf>
    <xf numFmtId="0" fontId="4" fillId="0" borderId="1" xfId="0" quotePrefix="1" applyFont="1" applyBorder="1" applyAlignment="1">
      <alignment horizontal="center"/>
    </xf>
    <xf numFmtId="166" fontId="6" fillId="0" borderId="1" xfId="0" quotePrefix="1" applyNumberFormat="1" applyFont="1" applyBorder="1" applyAlignment="1">
      <alignment horizontal="center"/>
    </xf>
    <xf numFmtId="0" fontId="6" fillId="0" borderId="10" xfId="0" applyFont="1" applyBorder="1" applyAlignment="1">
      <alignment horizontal="left" indent="3"/>
    </xf>
    <xf numFmtId="166" fontId="6" fillId="0" borderId="10" xfId="0" applyNumberFormat="1" applyFont="1" applyBorder="1" applyAlignment="1">
      <alignment horizontal="center"/>
    </xf>
    <xf numFmtId="0" fontId="6" fillId="0" borderId="0" xfId="0" applyFont="1" applyBorder="1" applyAlignment="1">
      <alignment horizontal="center"/>
    </xf>
    <xf numFmtId="2" fontId="11" fillId="0" borderId="1" xfId="0" applyNumberFormat="1" applyFont="1" applyBorder="1" applyAlignment="1">
      <alignment horizontal="center" wrapText="1"/>
    </xf>
    <xf numFmtId="2" fontId="11" fillId="0" borderId="1" xfId="0" applyNumberFormat="1" applyFont="1" applyBorder="1" applyAlignment="1">
      <alignment horizontal="center"/>
    </xf>
    <xf numFmtId="4" fontId="11" fillId="2" borderId="11" xfId="0" applyNumberFormat="1" applyFont="1" applyFill="1" applyBorder="1" applyAlignment="1">
      <alignment horizontal="center"/>
    </xf>
    <xf numFmtId="0" fontId="6" fillId="0" borderId="0" xfId="0" applyFont="1" applyBorder="1" applyAlignment="1">
      <alignment horizontal="left" indent="3"/>
    </xf>
    <xf numFmtId="0" fontId="6" fillId="0" borderId="1" xfId="0" applyFont="1" applyBorder="1" applyAlignment="1">
      <alignment horizontal="left" indent="3"/>
    </xf>
    <xf numFmtId="166" fontId="6" fillId="0" borderId="1" xfId="0" applyNumberFormat="1" applyFont="1" applyBorder="1" applyAlignment="1">
      <alignment horizontal="center"/>
    </xf>
    <xf numFmtId="0" fontId="6" fillId="0" borderId="10" xfId="0" applyFont="1" applyBorder="1" applyAlignment="1">
      <alignment horizontal="right"/>
    </xf>
    <xf numFmtId="2" fontId="13" fillId="0" borderId="1" xfId="0" applyNumberFormat="1" applyFont="1" applyBorder="1" applyAlignment="1">
      <alignment horizontal="center"/>
    </xf>
    <xf numFmtId="2" fontId="6" fillId="0" borderId="0" xfId="0" applyNumberFormat="1" applyFont="1" applyBorder="1" applyAlignment="1">
      <alignment horizontal="center"/>
    </xf>
    <xf numFmtId="0" fontId="6" fillId="0" borderId="0" xfId="0" applyFont="1" applyBorder="1" applyAlignment="1">
      <alignment horizontal="right"/>
    </xf>
    <xf numFmtId="2" fontId="6" fillId="0" borderId="0" xfId="0" applyNumberFormat="1" applyFont="1" applyFill="1" applyBorder="1" applyAlignment="1">
      <alignment horizontal="center"/>
    </xf>
    <xf numFmtId="0" fontId="6" fillId="0" borderId="0" xfId="0" applyFont="1" applyBorder="1" applyAlignment="1">
      <alignment horizontal="left" wrapText="1" indent="3"/>
    </xf>
    <xf numFmtId="4" fontId="11" fillId="2" borderId="11" xfId="0" applyNumberFormat="1" applyFont="1" applyFill="1" applyBorder="1" applyAlignment="1">
      <alignment horizontal="center" wrapText="1"/>
    </xf>
    <xf numFmtId="4" fontId="11" fillId="2" borderId="11" xfId="0" applyNumberFormat="1" applyFont="1" applyFill="1" applyBorder="1" applyAlignment="1">
      <alignment horizontal="center" vertical="center" wrapText="1"/>
    </xf>
    <xf numFmtId="4" fontId="11" fillId="2" borderId="12" xfId="0" applyNumberFormat="1" applyFont="1" applyFill="1" applyBorder="1" applyAlignment="1">
      <alignment horizontal="center" vertical="center" wrapText="1"/>
    </xf>
    <xf numFmtId="0" fontId="6" fillId="0" borderId="0" xfId="0" applyFont="1" applyAlignment="1">
      <alignment horizontal="right"/>
    </xf>
    <xf numFmtId="2" fontId="6" fillId="0" borderId="4" xfId="0" applyNumberFormat="1" applyFont="1" applyBorder="1" applyAlignment="1">
      <alignment horizontal="center"/>
    </xf>
    <xf numFmtId="0" fontId="6" fillId="0" borderId="1" xfId="0" applyFont="1" applyBorder="1" applyAlignment="1">
      <alignment horizontal="left"/>
    </xf>
    <xf numFmtId="2" fontId="4" fillId="0" borderId="1" xfId="0" applyNumberFormat="1" applyFont="1" applyBorder="1" applyAlignment="1">
      <alignment horizontal="center"/>
    </xf>
    <xf numFmtId="0" fontId="9" fillId="0" borderId="10" xfId="0" applyFont="1" applyBorder="1" applyAlignment="1">
      <alignment horizontal="left" vertical="center" wrapText="1" indent="3"/>
    </xf>
    <xf numFmtId="0" fontId="9" fillId="0" borderId="0" xfId="0" applyFont="1" applyBorder="1" applyAlignment="1">
      <alignment horizontal="left" vertical="center" wrapText="1" indent="3"/>
    </xf>
    <xf numFmtId="4" fontId="11" fillId="2" borderId="1" xfId="0" applyNumberFormat="1" applyFont="1" applyFill="1" applyBorder="1" applyAlignment="1">
      <alignment horizontal="center" vertical="center" wrapText="1"/>
    </xf>
    <xf numFmtId="0" fontId="6" fillId="0" borderId="0" xfId="0" applyFont="1" applyAlignment="1">
      <alignment horizontal="left" indent="2"/>
    </xf>
    <xf numFmtId="4" fontId="17" fillId="0" borderId="0" xfId="0" applyNumberFormat="1" applyFont="1" applyBorder="1" applyAlignment="1">
      <alignment horizontal="left" indent="1"/>
    </xf>
    <xf numFmtId="170" fontId="13" fillId="0" borderId="1" xfId="0" applyNumberFormat="1" applyFont="1" applyBorder="1" applyAlignment="1">
      <alignment horizontal="left" indent="2"/>
    </xf>
    <xf numFmtId="0" fontId="6" fillId="0" borderId="0" xfId="0" applyFont="1" applyAlignment="1">
      <alignment horizontal="left"/>
    </xf>
    <xf numFmtId="0" fontId="6" fillId="0" borderId="0" xfId="0" applyFont="1" applyAlignment="1">
      <alignment horizontal="left" wrapText="1"/>
    </xf>
    <xf numFmtId="0" fontId="6" fillId="0" borderId="0" xfId="0" applyFont="1" applyAlignment="1">
      <alignment horizontal="left" wrapText="1" indent="2"/>
    </xf>
    <xf numFmtId="170" fontId="13" fillId="0" borderId="0" xfId="0" applyNumberFormat="1" applyFont="1" applyAlignment="1">
      <alignment horizontal="left" indent="2"/>
    </xf>
    <xf numFmtId="165" fontId="6" fillId="0" borderId="0" xfId="0" applyNumberFormat="1" applyFont="1" applyBorder="1" applyAlignment="1">
      <alignment horizontal="center"/>
    </xf>
    <xf numFmtId="171" fontId="6" fillId="0" borderId="9" xfId="3" applyFont="1" applyBorder="1" applyAlignment="1">
      <alignment horizontal="right"/>
    </xf>
    <xf numFmtId="171" fontId="6" fillId="0" borderId="0" xfId="3" applyFont="1" applyBorder="1" applyAlignment="1">
      <alignment horizontal="right"/>
    </xf>
    <xf numFmtId="2" fontId="19" fillId="0" borderId="0" xfId="0" applyNumberFormat="1" applyFont="1" applyBorder="1" applyAlignment="1">
      <alignment horizontal="left" indent="6"/>
    </xf>
    <xf numFmtId="4" fontId="6" fillId="0" borderId="0" xfId="0" quotePrefix="1" applyNumberFormat="1" applyFont="1" applyAlignment="1">
      <alignment horizontal="center"/>
    </xf>
    <xf numFmtId="0" fontId="17" fillId="0" borderId="0" xfId="0" applyFont="1" applyAlignment="1">
      <alignment horizontal="right"/>
    </xf>
    <xf numFmtId="0" fontId="17" fillId="0" borderId="0" xfId="0" applyFont="1" applyAlignment="1">
      <alignment horizontal="center"/>
    </xf>
    <xf numFmtId="4" fontId="17" fillId="0" borderId="0" xfId="0" applyNumberFormat="1" applyFont="1" applyAlignment="1">
      <alignment horizontal="left"/>
    </xf>
    <xf numFmtId="0" fontId="6" fillId="0" borderId="1" xfId="0" applyFont="1" applyBorder="1" applyAlignment="1">
      <alignment horizontal="center"/>
    </xf>
    <xf numFmtId="0" fontId="11" fillId="0" borderId="1" xfId="0" applyFont="1" applyBorder="1" applyAlignment="1">
      <alignment horizontal="center"/>
    </xf>
    <xf numFmtId="0" fontId="6" fillId="0" borderId="1" xfId="0" applyFont="1" applyBorder="1" applyAlignment="1">
      <alignment horizontal="center" wrapText="1"/>
    </xf>
    <xf numFmtId="0" fontId="11" fillId="2" borderId="11" xfId="0" applyFont="1" applyFill="1" applyBorder="1" applyAlignment="1">
      <alignment horizontal="center"/>
    </xf>
    <xf numFmtId="7" fontId="6" fillId="0" borderId="10" xfId="0" applyNumberFormat="1" applyFont="1" applyBorder="1" applyAlignment="1">
      <alignment horizontal="right"/>
    </xf>
    <xf numFmtId="0" fontId="11" fillId="0" borderId="0" xfId="0" applyFont="1" applyAlignment="1">
      <alignment horizontal="right"/>
    </xf>
    <xf numFmtId="0" fontId="11" fillId="2" borderId="1" xfId="0" applyFont="1" applyFill="1" applyBorder="1" applyAlignment="1">
      <alignment horizontal="center"/>
    </xf>
    <xf numFmtId="3" fontId="6" fillId="0" borderId="0" xfId="0" quotePrefix="1" applyNumberFormat="1" applyFont="1" applyAlignment="1">
      <alignment horizontal="center"/>
    </xf>
    <xf numFmtId="7" fontId="6" fillId="0" borderId="0" xfId="0" applyNumberFormat="1" applyFont="1" applyAlignment="1">
      <alignment horizontal="right"/>
    </xf>
    <xf numFmtId="0" fontId="6" fillId="3" borderId="1" xfId="0" applyFont="1" applyFill="1" applyBorder="1" applyAlignment="1">
      <alignment horizontal="center"/>
    </xf>
    <xf numFmtId="0" fontId="20" fillId="0" borderId="0" xfId="0" applyFont="1" applyAlignment="1">
      <alignment horizontal="left" wrapText="1"/>
    </xf>
    <xf numFmtId="0" fontId="20" fillId="0" borderId="0" xfId="0" applyFont="1" applyFill="1" applyAlignment="1">
      <alignment horizontal="left" wrapText="1"/>
    </xf>
    <xf numFmtId="0" fontId="20" fillId="0" borderId="0" xfId="0" applyFont="1" applyAlignment="1">
      <alignment horizontal="left"/>
    </xf>
    <xf numFmtId="0" fontId="21" fillId="0" borderId="0" xfId="0" applyFont="1" applyAlignment="1">
      <alignment horizontal="left" wrapText="1"/>
    </xf>
    <xf numFmtId="0" fontId="22" fillId="0" borderId="0" xfId="0" applyFont="1" applyAlignment="1">
      <alignment horizontal="left" wrapText="1"/>
    </xf>
    <xf numFmtId="0" fontId="22" fillId="0" borderId="0" xfId="0" applyFont="1" applyAlignment="1">
      <alignment horizontal="left"/>
    </xf>
    <xf numFmtId="0" fontId="21" fillId="0" borderId="0" xfId="0" applyFont="1" applyFill="1" applyAlignment="1">
      <alignment horizontal="left" wrapText="1"/>
    </xf>
    <xf numFmtId="49" fontId="1" fillId="4" borderId="0" xfId="0" applyNumberFormat="1" applyFont="1" applyFill="1"/>
    <xf numFmtId="164" fontId="2" fillId="4" borderId="0" xfId="0" applyNumberFormat="1" applyFont="1" applyFill="1"/>
  </cellXfs>
  <cellStyles count="4">
    <cellStyle name="Comma_charter school revenue frame" xfId="3" xr:uid="{00000000-0005-0000-0000-000000000000}"/>
    <cellStyle name="Currency_charter school revenue frame" xfId="2" xr:uid="{00000000-0005-0000-0000-000001000000}"/>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4</xdr:col>
          <xdr:colOff>114300</xdr:colOff>
          <xdr:row>1</xdr:row>
          <xdr:rowOff>28575</xdr:rowOff>
        </xdr:to>
        <xdr:sp macro="" textlink="">
          <xdr:nvSpPr>
            <xdr:cNvPr id="1025" name="FILTER"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4</xdr:col>
          <xdr:colOff>114300</xdr:colOff>
          <xdr:row>1</xdr:row>
          <xdr:rowOff>28575</xdr:rowOff>
        </xdr:to>
        <xdr:sp macro="" textlink="">
          <xdr:nvSpPr>
            <xdr:cNvPr id="1026" name="HEADER"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lients/FEFP%202021-22%20Revenue%20Estimato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charter school calculator"/>
      <sheetName val="TSIA Est"/>
      <sheetName val="TSIA Allocations"/>
      <sheetName val=" Detail 2021-22 FEFP Conference"/>
      <sheetName val="111-112-113 ADDITIONAL FUND"/>
      <sheetName val="Transportation Per Student"/>
      <sheetName val="75% or more ESE Calc"/>
    </sheetNames>
    <sheetDataSet>
      <sheetData sheetId="0">
        <row r="1">
          <cell r="A1">
            <v>5</v>
          </cell>
        </row>
      </sheetData>
      <sheetData sheetId="1"/>
      <sheetData sheetId="2"/>
      <sheetData sheetId="3">
        <row r="1">
          <cell r="A1" t="str">
            <v>Charter School Worksheet DATA</v>
          </cell>
        </row>
        <row r="2">
          <cell r="G2" t="str">
            <v>Sparsity Supplement</v>
          </cell>
          <cell r="Q2" t="str">
            <v>Total Proration to Funds Available</v>
          </cell>
          <cell r="AA2" t="str">
            <v>Exempt Property Allocation Per Military and Indian Land Student</v>
          </cell>
        </row>
        <row r="3">
          <cell r="A3">
            <v>1</v>
          </cell>
          <cell r="G3">
            <v>0</v>
          </cell>
          <cell r="AA3">
            <v>0</v>
          </cell>
          <cell r="AQ3">
            <v>131</v>
          </cell>
          <cell r="AR3">
            <v>459</v>
          </cell>
        </row>
        <row r="4">
          <cell r="A4">
            <v>2</v>
          </cell>
          <cell r="G4">
            <v>819334</v>
          </cell>
          <cell r="AA4">
            <v>0</v>
          </cell>
        </row>
        <row r="5">
          <cell r="A5">
            <v>3</v>
          </cell>
          <cell r="G5">
            <v>0</v>
          </cell>
          <cell r="AA5">
            <v>670.98</v>
          </cell>
        </row>
        <row r="6">
          <cell r="A6">
            <v>4</v>
          </cell>
          <cell r="G6">
            <v>1189308</v>
          </cell>
          <cell r="AA6">
            <v>0</v>
          </cell>
        </row>
        <row r="7">
          <cell r="A7">
            <v>5</v>
          </cell>
          <cell r="G7">
            <v>0</v>
          </cell>
          <cell r="AA7">
            <v>823.8</v>
          </cell>
        </row>
        <row r="8">
          <cell r="A8">
            <v>6</v>
          </cell>
          <cell r="G8">
            <v>0</v>
          </cell>
          <cell r="AA8">
            <v>0</v>
          </cell>
        </row>
        <row r="9">
          <cell r="A9">
            <v>7</v>
          </cell>
          <cell r="G9">
            <v>1799179</v>
          </cell>
          <cell r="AA9">
            <v>0</v>
          </cell>
        </row>
        <row r="10">
          <cell r="A10">
            <v>8</v>
          </cell>
          <cell r="G10">
            <v>0</v>
          </cell>
          <cell r="AA10">
            <v>0</v>
          </cell>
        </row>
        <row r="11">
          <cell r="A11">
            <v>9</v>
          </cell>
          <cell r="G11">
            <v>2229890</v>
          </cell>
          <cell r="AA11">
            <v>0</v>
          </cell>
        </row>
        <row r="12">
          <cell r="A12">
            <v>10</v>
          </cell>
          <cell r="G12">
            <v>0</v>
          </cell>
          <cell r="AA12">
            <v>193.09</v>
          </cell>
        </row>
        <row r="13">
          <cell r="A13">
            <v>11</v>
          </cell>
          <cell r="G13">
            <v>0</v>
          </cell>
          <cell r="AA13">
            <v>0</v>
          </cell>
        </row>
        <row r="14">
          <cell r="A14">
            <v>12</v>
          </cell>
          <cell r="G14">
            <v>1535755</v>
          </cell>
          <cell r="AA14">
            <v>0</v>
          </cell>
        </row>
        <row r="15">
          <cell r="A15">
            <v>13</v>
          </cell>
          <cell r="G15">
            <v>0</v>
          </cell>
          <cell r="AA15">
            <v>222.15</v>
          </cell>
        </row>
        <row r="16">
          <cell r="A16">
            <v>14</v>
          </cell>
          <cell r="G16">
            <v>853145</v>
          </cell>
          <cell r="AA16">
            <v>0</v>
          </cell>
        </row>
        <row r="17">
          <cell r="A17">
            <v>15</v>
          </cell>
          <cell r="G17">
            <v>1174716</v>
          </cell>
          <cell r="AA17">
            <v>0</v>
          </cell>
        </row>
        <row r="18">
          <cell r="A18">
            <v>16</v>
          </cell>
          <cell r="G18">
            <v>0</v>
          </cell>
          <cell r="AA18">
            <v>332.76</v>
          </cell>
        </row>
        <row r="19">
          <cell r="A19">
            <v>17</v>
          </cell>
          <cell r="G19">
            <v>0</v>
          </cell>
          <cell r="AA19">
            <v>625.78</v>
          </cell>
        </row>
        <row r="20">
          <cell r="A20">
            <v>18</v>
          </cell>
          <cell r="G20">
            <v>1312656</v>
          </cell>
          <cell r="AA20">
            <v>0</v>
          </cell>
        </row>
        <row r="21">
          <cell r="A21">
            <v>19</v>
          </cell>
          <cell r="G21">
            <v>0</v>
          </cell>
          <cell r="AA21">
            <v>0</v>
          </cell>
        </row>
        <row r="22">
          <cell r="A22">
            <v>20</v>
          </cell>
          <cell r="G22">
            <v>900780</v>
          </cell>
          <cell r="AA22">
            <v>0</v>
          </cell>
        </row>
        <row r="23">
          <cell r="A23">
            <v>21</v>
          </cell>
          <cell r="G23">
            <v>2159557</v>
          </cell>
          <cell r="AA23">
            <v>0</v>
          </cell>
        </row>
        <row r="24">
          <cell r="A24">
            <v>22</v>
          </cell>
          <cell r="G24">
            <v>1109815</v>
          </cell>
          <cell r="AA24">
            <v>1728.14</v>
          </cell>
        </row>
        <row r="25">
          <cell r="A25">
            <v>23</v>
          </cell>
          <cell r="G25">
            <v>1158342</v>
          </cell>
          <cell r="AA25">
            <v>0</v>
          </cell>
        </row>
        <row r="26">
          <cell r="A26">
            <v>24</v>
          </cell>
          <cell r="G26">
            <v>1073627</v>
          </cell>
          <cell r="AA26">
            <v>0</v>
          </cell>
        </row>
        <row r="27">
          <cell r="A27">
            <v>25</v>
          </cell>
          <cell r="G27">
            <v>789530</v>
          </cell>
          <cell r="AA27">
            <v>0</v>
          </cell>
        </row>
        <row r="28">
          <cell r="A28">
            <v>26</v>
          </cell>
          <cell r="G28">
            <v>1256076</v>
          </cell>
          <cell r="AA28">
            <v>0</v>
          </cell>
        </row>
        <row r="29">
          <cell r="A29">
            <v>27</v>
          </cell>
          <cell r="G29">
            <v>2331561</v>
          </cell>
          <cell r="AA29">
            <v>0</v>
          </cell>
        </row>
        <row r="30">
          <cell r="A30">
            <v>28</v>
          </cell>
          <cell r="G30">
            <v>3009467</v>
          </cell>
          <cell r="AA30">
            <v>0</v>
          </cell>
        </row>
        <row r="31">
          <cell r="A31">
            <v>29</v>
          </cell>
          <cell r="G31">
            <v>0</v>
          </cell>
          <cell r="AA31">
            <v>229.82</v>
          </cell>
        </row>
        <row r="32">
          <cell r="A32">
            <v>30</v>
          </cell>
          <cell r="G32">
            <v>2632475</v>
          </cell>
          <cell r="AA32">
            <v>0</v>
          </cell>
        </row>
        <row r="33">
          <cell r="A33">
            <v>31</v>
          </cell>
          <cell r="G33">
            <v>0</v>
          </cell>
          <cell r="AA33">
            <v>0</v>
          </cell>
        </row>
        <row r="34">
          <cell r="A34">
            <v>32</v>
          </cell>
          <cell r="G34">
            <v>3523079</v>
          </cell>
          <cell r="AA34">
            <v>0</v>
          </cell>
        </row>
        <row r="35">
          <cell r="A35">
            <v>33</v>
          </cell>
          <cell r="G35">
            <v>564068</v>
          </cell>
          <cell r="AA35">
            <v>0</v>
          </cell>
        </row>
        <row r="36">
          <cell r="A36">
            <v>34</v>
          </cell>
          <cell r="G36">
            <v>950637</v>
          </cell>
          <cell r="AA36">
            <v>0</v>
          </cell>
        </row>
        <row r="37">
          <cell r="A37">
            <v>35</v>
          </cell>
          <cell r="G37">
            <v>0</v>
          </cell>
          <cell r="AA37">
            <v>0</v>
          </cell>
        </row>
        <row r="38">
          <cell r="A38">
            <v>36</v>
          </cell>
          <cell r="G38">
            <v>0</v>
          </cell>
          <cell r="AA38">
            <v>179.32</v>
          </cell>
        </row>
        <row r="39">
          <cell r="A39">
            <v>37</v>
          </cell>
          <cell r="G39">
            <v>0</v>
          </cell>
          <cell r="AA39">
            <v>0</v>
          </cell>
        </row>
        <row r="40">
          <cell r="A40">
            <v>38</v>
          </cell>
          <cell r="G40">
            <v>3445015</v>
          </cell>
          <cell r="AA40">
            <v>0</v>
          </cell>
        </row>
        <row r="41">
          <cell r="A41">
            <v>39</v>
          </cell>
          <cell r="G41">
            <v>1023565</v>
          </cell>
          <cell r="AA41">
            <v>0</v>
          </cell>
        </row>
        <row r="42">
          <cell r="A42">
            <v>40</v>
          </cell>
          <cell r="G42">
            <v>1167558</v>
          </cell>
          <cell r="AA42">
            <v>0</v>
          </cell>
        </row>
        <row r="43">
          <cell r="A43">
            <v>41</v>
          </cell>
          <cell r="G43">
            <v>0</v>
          </cell>
          <cell r="AA43">
            <v>0</v>
          </cell>
        </row>
        <row r="44">
          <cell r="A44">
            <v>42</v>
          </cell>
          <cell r="G44">
            <v>0</v>
          </cell>
          <cell r="AA44">
            <v>0</v>
          </cell>
        </row>
        <row r="45">
          <cell r="A45">
            <v>43</v>
          </cell>
          <cell r="G45">
            <v>0</v>
          </cell>
          <cell r="AA45">
            <v>0</v>
          </cell>
        </row>
        <row r="46">
          <cell r="A46">
            <v>44</v>
          </cell>
          <cell r="G46">
            <v>0</v>
          </cell>
          <cell r="AA46">
            <v>1829.91</v>
          </cell>
        </row>
        <row r="47">
          <cell r="A47">
            <v>45</v>
          </cell>
          <cell r="G47">
            <v>2438574</v>
          </cell>
          <cell r="AA47">
            <v>0</v>
          </cell>
        </row>
        <row r="48">
          <cell r="A48">
            <v>46</v>
          </cell>
          <cell r="G48">
            <v>0</v>
          </cell>
          <cell r="AA48">
            <v>357.5</v>
          </cell>
        </row>
        <row r="49">
          <cell r="A49">
            <v>47</v>
          </cell>
          <cell r="G49">
            <v>625968</v>
          </cell>
          <cell r="AA49">
            <v>0</v>
          </cell>
        </row>
        <row r="50">
          <cell r="A50">
            <v>48</v>
          </cell>
          <cell r="G50">
            <v>0</v>
          </cell>
          <cell r="AA50">
            <v>0</v>
          </cell>
        </row>
        <row r="51">
          <cell r="A51">
            <v>49</v>
          </cell>
          <cell r="G51">
            <v>0</v>
          </cell>
          <cell r="AA51">
            <v>0</v>
          </cell>
        </row>
        <row r="52">
          <cell r="A52">
            <v>50</v>
          </cell>
          <cell r="G52">
            <v>0</v>
          </cell>
          <cell r="AA52">
            <v>192.2</v>
          </cell>
        </row>
        <row r="53">
          <cell r="A53">
            <v>51</v>
          </cell>
          <cell r="G53">
            <v>0</v>
          </cell>
          <cell r="AA53">
            <v>0</v>
          </cell>
        </row>
        <row r="54">
          <cell r="A54">
            <v>52</v>
          </cell>
          <cell r="G54">
            <v>0</v>
          </cell>
          <cell r="AA54">
            <v>179.6</v>
          </cell>
        </row>
        <row r="55">
          <cell r="A55">
            <v>53</v>
          </cell>
          <cell r="G55">
            <v>0</v>
          </cell>
          <cell r="AA55">
            <v>0</v>
          </cell>
        </row>
        <row r="56">
          <cell r="A56">
            <v>54</v>
          </cell>
          <cell r="G56">
            <v>3318282</v>
          </cell>
          <cell r="AA56">
            <v>0</v>
          </cell>
        </row>
        <row r="57">
          <cell r="A57">
            <v>55</v>
          </cell>
          <cell r="G57">
            <v>0</v>
          </cell>
          <cell r="AA57">
            <v>0</v>
          </cell>
        </row>
        <row r="58">
          <cell r="A58">
            <v>56</v>
          </cell>
          <cell r="G58">
            <v>0</v>
          </cell>
          <cell r="AA58">
            <v>0</v>
          </cell>
        </row>
        <row r="59">
          <cell r="A59">
            <v>57</v>
          </cell>
          <cell r="G59">
            <v>0</v>
          </cell>
          <cell r="AA59">
            <v>421.54</v>
          </cell>
        </row>
        <row r="60">
          <cell r="A60">
            <v>58</v>
          </cell>
          <cell r="G60">
            <v>0</v>
          </cell>
          <cell r="AA60">
            <v>0</v>
          </cell>
        </row>
        <row r="61">
          <cell r="A61">
            <v>59</v>
          </cell>
          <cell r="G61">
            <v>0</v>
          </cell>
          <cell r="AA61">
            <v>0</v>
          </cell>
        </row>
        <row r="62">
          <cell r="A62">
            <v>60</v>
          </cell>
          <cell r="G62">
            <v>0</v>
          </cell>
          <cell r="AA62">
            <v>0</v>
          </cell>
        </row>
        <row r="63">
          <cell r="A63">
            <v>61</v>
          </cell>
          <cell r="G63">
            <v>2320696</v>
          </cell>
          <cell r="AA63">
            <v>0</v>
          </cell>
        </row>
        <row r="64">
          <cell r="A64">
            <v>62</v>
          </cell>
          <cell r="G64">
            <v>1226603</v>
          </cell>
          <cell r="AA64">
            <v>0</v>
          </cell>
        </row>
        <row r="65">
          <cell r="A65">
            <v>63</v>
          </cell>
          <cell r="G65">
            <v>1176481</v>
          </cell>
          <cell r="AA65">
            <v>0</v>
          </cell>
        </row>
        <row r="66">
          <cell r="A66">
            <v>64</v>
          </cell>
          <cell r="G66">
            <v>0</v>
          </cell>
          <cell r="AA66">
            <v>0</v>
          </cell>
        </row>
        <row r="67">
          <cell r="A67">
            <v>65</v>
          </cell>
          <cell r="G67">
            <v>779780</v>
          </cell>
          <cell r="AA67">
            <v>0</v>
          </cell>
        </row>
        <row r="68">
          <cell r="A68">
            <v>66</v>
          </cell>
          <cell r="G68">
            <v>0</v>
          </cell>
          <cell r="AA68">
            <v>0</v>
          </cell>
        </row>
        <row r="69">
          <cell r="A69">
            <v>67</v>
          </cell>
          <cell r="G69">
            <v>2329679</v>
          </cell>
          <cell r="AA69">
            <v>0</v>
          </cell>
        </row>
        <row r="70">
          <cell r="A70">
            <v>69</v>
          </cell>
          <cell r="G70">
            <v>530976</v>
          </cell>
        </row>
        <row r="71">
          <cell r="A71">
            <v>70</v>
          </cell>
          <cell r="G71">
            <v>630741</v>
          </cell>
          <cell r="AA71">
            <v>0</v>
          </cell>
        </row>
        <row r="72">
          <cell r="A72">
            <v>71</v>
          </cell>
          <cell r="G72">
            <v>0</v>
          </cell>
          <cell r="AA72">
            <v>0</v>
          </cell>
        </row>
        <row r="73">
          <cell r="A73">
            <v>72</v>
          </cell>
          <cell r="G73">
            <v>0</v>
          </cell>
          <cell r="AA73">
            <v>0</v>
          </cell>
        </row>
        <row r="74">
          <cell r="A74">
            <v>73</v>
          </cell>
          <cell r="G74">
            <v>1133694</v>
          </cell>
          <cell r="AA74">
            <v>0</v>
          </cell>
        </row>
        <row r="75">
          <cell r="A75">
            <v>74</v>
          </cell>
          <cell r="G75">
            <v>979391</v>
          </cell>
          <cell r="AA75">
            <v>0</v>
          </cell>
        </row>
        <row r="76">
          <cell r="A76">
            <v>75</v>
          </cell>
          <cell r="G76">
            <v>0</v>
          </cell>
          <cell r="AA76">
            <v>0</v>
          </cell>
        </row>
        <row r="77">
          <cell r="G77">
            <v>55500000</v>
          </cell>
          <cell r="Q77">
            <v>0</v>
          </cell>
        </row>
      </sheetData>
      <sheetData sheetId="4">
        <row r="1">
          <cell r="A1" t="str">
            <v>ESE Funding Based on the 2001-02 Matrix Levels</v>
          </cell>
        </row>
        <row r="2">
          <cell r="D2" t="str">
            <v>Program 111- Grades K-3</v>
          </cell>
          <cell r="G2" t="str">
            <v>Program 112- Grades 4-8</v>
          </cell>
          <cell r="J2" t="str">
            <v>Program 113- Grades 9-12</v>
          </cell>
        </row>
        <row r="3">
          <cell r="D3" t="str">
            <v xml:space="preserve">ESE LEVEL 1
</v>
          </cell>
          <cell r="E3" t="str">
            <v xml:space="preserve">ESE LEVEL 2
</v>
          </cell>
          <cell r="F3" t="str">
            <v>ESE LEVEL 3</v>
          </cell>
          <cell r="G3" t="str">
            <v>ESE LEVEL 1</v>
          </cell>
          <cell r="H3" t="str">
            <v>ESE LEVEL 2</v>
          </cell>
          <cell r="I3" t="str">
            <v>ESE LEVEL 3</v>
          </cell>
          <cell r="J3" t="str">
            <v>ESE LEVEL 1</v>
          </cell>
          <cell r="K3" t="str">
            <v>ESE LEVEL 2</v>
          </cell>
          <cell r="L3" t="str">
            <v>ESE LEVEL 3</v>
          </cell>
        </row>
        <row r="6">
          <cell r="A6">
            <v>1</v>
          </cell>
          <cell r="D6">
            <v>975</v>
          </cell>
          <cell r="E6">
            <v>3147</v>
          </cell>
          <cell r="F6">
            <v>6422</v>
          </cell>
          <cell r="G6">
            <v>1093</v>
          </cell>
          <cell r="H6">
            <v>3265</v>
          </cell>
          <cell r="I6">
            <v>6540</v>
          </cell>
          <cell r="J6">
            <v>778</v>
          </cell>
          <cell r="K6">
            <v>2950</v>
          </cell>
          <cell r="L6">
            <v>6225</v>
          </cell>
        </row>
        <row r="7">
          <cell r="A7">
            <v>2</v>
          </cell>
          <cell r="D7">
            <v>947</v>
          </cell>
          <cell r="E7">
            <v>3058</v>
          </cell>
          <cell r="F7">
            <v>6241</v>
          </cell>
          <cell r="G7">
            <v>1062</v>
          </cell>
          <cell r="H7">
            <v>3173</v>
          </cell>
          <cell r="I7">
            <v>6356</v>
          </cell>
          <cell r="J7">
            <v>756</v>
          </cell>
          <cell r="K7">
            <v>2867</v>
          </cell>
          <cell r="L7">
            <v>6050</v>
          </cell>
        </row>
        <row r="8">
          <cell r="A8">
            <v>3</v>
          </cell>
          <cell r="D8">
            <v>973</v>
          </cell>
          <cell r="E8">
            <v>3143</v>
          </cell>
          <cell r="F8">
            <v>6414</v>
          </cell>
          <cell r="G8">
            <v>1091</v>
          </cell>
          <cell r="H8">
            <v>3261</v>
          </cell>
          <cell r="I8">
            <v>6532</v>
          </cell>
          <cell r="J8">
            <v>777</v>
          </cell>
          <cell r="K8">
            <v>2946</v>
          </cell>
          <cell r="L8">
            <v>6217</v>
          </cell>
        </row>
        <row r="9">
          <cell r="A9">
            <v>4</v>
          </cell>
          <cell r="D9">
            <v>943</v>
          </cell>
          <cell r="E9">
            <v>3046</v>
          </cell>
          <cell r="F9">
            <v>6215</v>
          </cell>
          <cell r="G9">
            <v>1058</v>
          </cell>
          <cell r="H9">
            <v>3160</v>
          </cell>
          <cell r="I9">
            <v>6329</v>
          </cell>
          <cell r="J9">
            <v>753</v>
          </cell>
          <cell r="K9">
            <v>2855</v>
          </cell>
          <cell r="L9">
            <v>6025</v>
          </cell>
        </row>
        <row r="10">
          <cell r="A10">
            <v>5</v>
          </cell>
          <cell r="D10">
            <v>996</v>
          </cell>
          <cell r="E10">
            <v>3217</v>
          </cell>
          <cell r="F10">
            <v>6565</v>
          </cell>
          <cell r="G10">
            <v>1117</v>
          </cell>
          <cell r="H10">
            <v>3338</v>
          </cell>
          <cell r="I10">
            <v>6686</v>
          </cell>
          <cell r="J10">
            <v>795</v>
          </cell>
          <cell r="K10">
            <v>3016</v>
          </cell>
          <cell r="L10">
            <v>6364</v>
          </cell>
        </row>
        <row r="11">
          <cell r="A11">
            <v>6</v>
          </cell>
          <cell r="D11">
            <v>1058</v>
          </cell>
          <cell r="E11">
            <v>3418</v>
          </cell>
          <cell r="F11">
            <v>6974</v>
          </cell>
          <cell r="G11">
            <v>1187</v>
          </cell>
          <cell r="H11">
            <v>3546</v>
          </cell>
          <cell r="I11">
            <v>7102</v>
          </cell>
          <cell r="J11">
            <v>845</v>
          </cell>
          <cell r="K11">
            <v>3204</v>
          </cell>
          <cell r="L11">
            <v>6760</v>
          </cell>
        </row>
        <row r="12">
          <cell r="A12">
            <v>7</v>
          </cell>
          <cell r="D12">
            <v>927</v>
          </cell>
          <cell r="E12">
            <v>2992</v>
          </cell>
          <cell r="F12">
            <v>6105</v>
          </cell>
          <cell r="G12">
            <v>1039</v>
          </cell>
          <cell r="H12">
            <v>3104</v>
          </cell>
          <cell r="I12">
            <v>6218</v>
          </cell>
          <cell r="J12">
            <v>739</v>
          </cell>
          <cell r="K12">
            <v>2805</v>
          </cell>
          <cell r="L12">
            <v>5918</v>
          </cell>
        </row>
        <row r="13">
          <cell r="A13">
            <v>8</v>
          </cell>
          <cell r="D13">
            <v>984</v>
          </cell>
          <cell r="E13">
            <v>3177</v>
          </cell>
          <cell r="F13">
            <v>6483</v>
          </cell>
          <cell r="G13">
            <v>1103</v>
          </cell>
          <cell r="H13">
            <v>3296</v>
          </cell>
          <cell r="I13">
            <v>6602</v>
          </cell>
          <cell r="J13">
            <v>785</v>
          </cell>
          <cell r="K13">
            <v>2978</v>
          </cell>
          <cell r="L13">
            <v>6284</v>
          </cell>
        </row>
        <row r="14">
          <cell r="A14">
            <v>9</v>
          </cell>
          <cell r="D14">
            <v>948</v>
          </cell>
          <cell r="E14">
            <v>3062</v>
          </cell>
          <cell r="F14">
            <v>6249</v>
          </cell>
          <cell r="G14">
            <v>1063</v>
          </cell>
          <cell r="H14">
            <v>3177</v>
          </cell>
          <cell r="I14">
            <v>6364</v>
          </cell>
          <cell r="J14">
            <v>757</v>
          </cell>
          <cell r="K14">
            <v>2870</v>
          </cell>
          <cell r="L14">
            <v>6057</v>
          </cell>
        </row>
        <row r="15">
          <cell r="A15">
            <v>10</v>
          </cell>
          <cell r="D15">
            <v>982</v>
          </cell>
          <cell r="E15">
            <v>3170</v>
          </cell>
          <cell r="F15">
            <v>6470</v>
          </cell>
          <cell r="G15">
            <v>1101</v>
          </cell>
          <cell r="H15">
            <v>3290</v>
          </cell>
          <cell r="I15">
            <v>6589</v>
          </cell>
          <cell r="J15">
            <v>784</v>
          </cell>
          <cell r="K15">
            <v>2972</v>
          </cell>
          <cell r="L15">
            <v>6272</v>
          </cell>
        </row>
        <row r="16">
          <cell r="A16">
            <v>11</v>
          </cell>
          <cell r="D16">
            <v>1024</v>
          </cell>
          <cell r="E16">
            <v>3306</v>
          </cell>
          <cell r="F16">
            <v>6746</v>
          </cell>
          <cell r="G16">
            <v>1148</v>
          </cell>
          <cell r="H16">
            <v>3430</v>
          </cell>
          <cell r="I16">
            <v>6870</v>
          </cell>
          <cell r="J16">
            <v>817</v>
          </cell>
          <cell r="K16">
            <v>3099</v>
          </cell>
          <cell r="L16">
            <v>6539</v>
          </cell>
        </row>
        <row r="17">
          <cell r="A17">
            <v>12</v>
          </cell>
          <cell r="D17">
            <v>947</v>
          </cell>
          <cell r="E17">
            <v>3059</v>
          </cell>
          <cell r="F17">
            <v>6243</v>
          </cell>
          <cell r="G17">
            <v>1062</v>
          </cell>
          <cell r="H17">
            <v>3174</v>
          </cell>
          <cell r="I17">
            <v>6357</v>
          </cell>
          <cell r="J17">
            <v>756</v>
          </cell>
          <cell r="K17">
            <v>2868</v>
          </cell>
          <cell r="L17">
            <v>6051</v>
          </cell>
        </row>
        <row r="18">
          <cell r="A18">
            <v>13</v>
          </cell>
          <cell r="D18">
            <v>1070</v>
          </cell>
          <cell r="E18">
            <v>3455</v>
          </cell>
          <cell r="F18">
            <v>7050</v>
          </cell>
          <cell r="G18">
            <v>1200</v>
          </cell>
          <cell r="H18">
            <v>3584</v>
          </cell>
          <cell r="I18">
            <v>7179</v>
          </cell>
          <cell r="J18">
            <v>854</v>
          </cell>
          <cell r="K18">
            <v>3238</v>
          </cell>
          <cell r="L18">
            <v>6833</v>
          </cell>
        </row>
        <row r="19">
          <cell r="A19">
            <v>14</v>
          </cell>
          <cell r="D19">
            <v>951</v>
          </cell>
          <cell r="E19">
            <v>3070</v>
          </cell>
          <cell r="F19">
            <v>6265</v>
          </cell>
          <cell r="G19">
            <v>1066</v>
          </cell>
          <cell r="H19">
            <v>3185</v>
          </cell>
          <cell r="I19">
            <v>6380</v>
          </cell>
          <cell r="J19">
            <v>759</v>
          </cell>
          <cell r="K19">
            <v>2878</v>
          </cell>
          <cell r="L19">
            <v>6073</v>
          </cell>
        </row>
        <row r="20">
          <cell r="A20">
            <v>15</v>
          </cell>
          <cell r="D20">
            <v>949</v>
          </cell>
          <cell r="E20">
            <v>3065</v>
          </cell>
          <cell r="F20">
            <v>6255</v>
          </cell>
          <cell r="G20">
            <v>1064</v>
          </cell>
          <cell r="H20">
            <v>3180</v>
          </cell>
          <cell r="I20">
            <v>6370</v>
          </cell>
          <cell r="J20">
            <v>758</v>
          </cell>
          <cell r="K20">
            <v>2874</v>
          </cell>
          <cell r="L20">
            <v>6063</v>
          </cell>
        </row>
        <row r="21">
          <cell r="A21">
            <v>16</v>
          </cell>
          <cell r="D21">
            <v>994</v>
          </cell>
          <cell r="E21">
            <v>3209</v>
          </cell>
          <cell r="F21">
            <v>6549</v>
          </cell>
          <cell r="G21">
            <v>1114</v>
          </cell>
          <cell r="H21">
            <v>3330</v>
          </cell>
          <cell r="I21">
            <v>6669</v>
          </cell>
          <cell r="J21">
            <v>793</v>
          </cell>
          <cell r="K21">
            <v>3008</v>
          </cell>
          <cell r="L21">
            <v>6348</v>
          </cell>
        </row>
        <row r="22">
          <cell r="A22">
            <v>17</v>
          </cell>
          <cell r="D22">
            <v>966</v>
          </cell>
          <cell r="E22">
            <v>3118</v>
          </cell>
          <cell r="F22">
            <v>6363</v>
          </cell>
          <cell r="G22">
            <v>1083</v>
          </cell>
          <cell r="H22">
            <v>3235</v>
          </cell>
          <cell r="I22">
            <v>6480</v>
          </cell>
          <cell r="J22">
            <v>771</v>
          </cell>
          <cell r="K22">
            <v>2923</v>
          </cell>
          <cell r="L22">
            <v>6168</v>
          </cell>
        </row>
        <row r="23">
          <cell r="A23">
            <v>18</v>
          </cell>
          <cell r="D23">
            <v>975</v>
          </cell>
          <cell r="E23">
            <v>3148</v>
          </cell>
          <cell r="F23">
            <v>6424</v>
          </cell>
          <cell r="G23">
            <v>1093</v>
          </cell>
          <cell r="H23">
            <v>3266</v>
          </cell>
          <cell r="I23">
            <v>6542</v>
          </cell>
          <cell r="J23">
            <v>778</v>
          </cell>
          <cell r="K23">
            <v>2951</v>
          </cell>
          <cell r="L23">
            <v>6227</v>
          </cell>
        </row>
        <row r="24">
          <cell r="A24">
            <v>19</v>
          </cell>
          <cell r="D24">
            <v>975</v>
          </cell>
          <cell r="E24">
            <v>3149</v>
          </cell>
          <cell r="F24">
            <v>6426</v>
          </cell>
          <cell r="G24">
            <v>1094</v>
          </cell>
          <cell r="H24">
            <v>3267</v>
          </cell>
          <cell r="I24">
            <v>6545</v>
          </cell>
          <cell r="J24">
            <v>778</v>
          </cell>
          <cell r="K24">
            <v>2952</v>
          </cell>
          <cell r="L24">
            <v>6229</v>
          </cell>
        </row>
        <row r="25">
          <cell r="A25">
            <v>20</v>
          </cell>
          <cell r="D25">
            <v>954</v>
          </cell>
          <cell r="E25">
            <v>3080</v>
          </cell>
          <cell r="F25">
            <v>6286</v>
          </cell>
          <cell r="G25">
            <v>1070</v>
          </cell>
          <cell r="H25">
            <v>3196</v>
          </cell>
          <cell r="I25">
            <v>6402</v>
          </cell>
          <cell r="J25">
            <v>761</v>
          </cell>
          <cell r="K25">
            <v>2888</v>
          </cell>
          <cell r="L25">
            <v>6093</v>
          </cell>
        </row>
        <row r="26">
          <cell r="A26">
            <v>21</v>
          </cell>
          <cell r="D26">
            <v>950</v>
          </cell>
          <cell r="E26">
            <v>3068</v>
          </cell>
          <cell r="F26">
            <v>6261</v>
          </cell>
          <cell r="G26">
            <v>1065</v>
          </cell>
          <cell r="H26">
            <v>3183</v>
          </cell>
          <cell r="I26">
            <v>6376</v>
          </cell>
          <cell r="J26">
            <v>758</v>
          </cell>
          <cell r="K26">
            <v>2876</v>
          </cell>
          <cell r="L26">
            <v>6069</v>
          </cell>
        </row>
        <row r="27">
          <cell r="A27">
            <v>22</v>
          </cell>
          <cell r="D27">
            <v>975</v>
          </cell>
          <cell r="E27">
            <v>3149</v>
          </cell>
          <cell r="F27">
            <v>6426</v>
          </cell>
          <cell r="G27">
            <v>1094</v>
          </cell>
          <cell r="H27">
            <v>3267</v>
          </cell>
          <cell r="I27">
            <v>6545</v>
          </cell>
          <cell r="J27">
            <v>778</v>
          </cell>
          <cell r="K27">
            <v>2952</v>
          </cell>
          <cell r="L27">
            <v>6229</v>
          </cell>
        </row>
        <row r="28">
          <cell r="A28">
            <v>23</v>
          </cell>
          <cell r="D28">
            <v>952</v>
          </cell>
          <cell r="E28">
            <v>3075</v>
          </cell>
          <cell r="F28">
            <v>6275</v>
          </cell>
          <cell r="G28">
            <v>1068</v>
          </cell>
          <cell r="H28">
            <v>3190</v>
          </cell>
          <cell r="I28">
            <v>6390</v>
          </cell>
          <cell r="J28">
            <v>760</v>
          </cell>
          <cell r="K28">
            <v>2882</v>
          </cell>
          <cell r="L28">
            <v>6082</v>
          </cell>
        </row>
        <row r="29">
          <cell r="A29">
            <v>24</v>
          </cell>
          <cell r="D29">
            <v>947</v>
          </cell>
          <cell r="E29">
            <v>3059</v>
          </cell>
          <cell r="F29">
            <v>6243</v>
          </cell>
          <cell r="G29">
            <v>1062</v>
          </cell>
          <cell r="H29">
            <v>3174</v>
          </cell>
          <cell r="I29">
            <v>6357</v>
          </cell>
          <cell r="J29">
            <v>756</v>
          </cell>
          <cell r="K29">
            <v>2868</v>
          </cell>
          <cell r="L29">
            <v>6051</v>
          </cell>
        </row>
        <row r="30">
          <cell r="A30">
            <v>25</v>
          </cell>
          <cell r="D30">
            <v>946</v>
          </cell>
          <cell r="E30">
            <v>3054</v>
          </cell>
          <cell r="F30">
            <v>6233</v>
          </cell>
          <cell r="G30">
            <v>1061</v>
          </cell>
          <cell r="H30">
            <v>3169</v>
          </cell>
          <cell r="I30">
            <v>6348</v>
          </cell>
          <cell r="J30">
            <v>755</v>
          </cell>
          <cell r="K30">
            <v>2863</v>
          </cell>
          <cell r="L30">
            <v>6042</v>
          </cell>
        </row>
        <row r="31">
          <cell r="A31">
            <v>26</v>
          </cell>
          <cell r="D31">
            <v>968</v>
          </cell>
          <cell r="E31">
            <v>3125</v>
          </cell>
          <cell r="F31">
            <v>6376</v>
          </cell>
          <cell r="G31">
            <v>1085</v>
          </cell>
          <cell r="H31">
            <v>3242</v>
          </cell>
          <cell r="I31">
            <v>6494</v>
          </cell>
          <cell r="J31">
            <v>772</v>
          </cell>
          <cell r="K31">
            <v>2929</v>
          </cell>
          <cell r="L31">
            <v>6181</v>
          </cell>
        </row>
        <row r="32">
          <cell r="A32">
            <v>27</v>
          </cell>
          <cell r="D32">
            <v>961</v>
          </cell>
          <cell r="E32">
            <v>3102</v>
          </cell>
          <cell r="F32">
            <v>6330</v>
          </cell>
          <cell r="G32">
            <v>1077</v>
          </cell>
          <cell r="H32">
            <v>3218</v>
          </cell>
          <cell r="I32">
            <v>6447</v>
          </cell>
          <cell r="J32">
            <v>767</v>
          </cell>
          <cell r="K32">
            <v>2908</v>
          </cell>
          <cell r="L32">
            <v>6136</v>
          </cell>
        </row>
        <row r="33">
          <cell r="A33">
            <v>28</v>
          </cell>
          <cell r="D33">
            <v>964</v>
          </cell>
          <cell r="E33">
            <v>3114</v>
          </cell>
          <cell r="F33">
            <v>6355</v>
          </cell>
          <cell r="G33">
            <v>1081</v>
          </cell>
          <cell r="H33">
            <v>3231</v>
          </cell>
          <cell r="I33">
            <v>6472</v>
          </cell>
          <cell r="J33">
            <v>770</v>
          </cell>
          <cell r="K33">
            <v>2919</v>
          </cell>
          <cell r="L33">
            <v>6160</v>
          </cell>
        </row>
        <row r="34">
          <cell r="A34">
            <v>29</v>
          </cell>
          <cell r="D34">
            <v>1016</v>
          </cell>
          <cell r="E34">
            <v>3282</v>
          </cell>
          <cell r="F34">
            <v>6697</v>
          </cell>
          <cell r="G34">
            <v>1139</v>
          </cell>
          <cell r="H34">
            <v>3405</v>
          </cell>
          <cell r="I34">
            <v>6820</v>
          </cell>
          <cell r="J34">
            <v>811</v>
          </cell>
          <cell r="K34">
            <v>3076</v>
          </cell>
          <cell r="L34">
            <v>6491</v>
          </cell>
        </row>
        <row r="35">
          <cell r="A35">
            <v>30</v>
          </cell>
          <cell r="D35">
            <v>946</v>
          </cell>
          <cell r="E35">
            <v>3056</v>
          </cell>
          <cell r="F35">
            <v>6237</v>
          </cell>
          <cell r="G35">
            <v>1061</v>
          </cell>
          <cell r="H35">
            <v>3171</v>
          </cell>
          <cell r="I35">
            <v>6351</v>
          </cell>
          <cell r="J35">
            <v>755</v>
          </cell>
          <cell r="K35">
            <v>2865</v>
          </cell>
          <cell r="L35">
            <v>6045</v>
          </cell>
        </row>
        <row r="36">
          <cell r="A36">
            <v>31</v>
          </cell>
          <cell r="D36">
            <v>999</v>
          </cell>
          <cell r="E36">
            <v>3227</v>
          </cell>
          <cell r="F36">
            <v>6586</v>
          </cell>
          <cell r="G36">
            <v>1121</v>
          </cell>
          <cell r="H36">
            <v>3348</v>
          </cell>
          <cell r="I36">
            <v>6707</v>
          </cell>
          <cell r="J36">
            <v>798</v>
          </cell>
          <cell r="K36">
            <v>3025</v>
          </cell>
          <cell r="L36">
            <v>6384</v>
          </cell>
        </row>
        <row r="37">
          <cell r="A37">
            <v>32</v>
          </cell>
          <cell r="D37">
            <v>934</v>
          </cell>
          <cell r="E37">
            <v>3015</v>
          </cell>
          <cell r="F37">
            <v>6154</v>
          </cell>
          <cell r="G37">
            <v>1047</v>
          </cell>
          <cell r="H37">
            <v>3129</v>
          </cell>
          <cell r="I37">
            <v>6267</v>
          </cell>
          <cell r="J37">
            <v>745</v>
          </cell>
          <cell r="K37">
            <v>2827</v>
          </cell>
          <cell r="L37">
            <v>5965</v>
          </cell>
        </row>
        <row r="38">
          <cell r="A38">
            <v>33</v>
          </cell>
          <cell r="D38">
            <v>969</v>
          </cell>
          <cell r="E38">
            <v>3129</v>
          </cell>
          <cell r="F38">
            <v>6385</v>
          </cell>
          <cell r="G38">
            <v>1086</v>
          </cell>
          <cell r="H38">
            <v>3246</v>
          </cell>
          <cell r="I38">
            <v>6502</v>
          </cell>
          <cell r="J38">
            <v>773</v>
          </cell>
          <cell r="K38">
            <v>2933</v>
          </cell>
          <cell r="L38">
            <v>6189</v>
          </cell>
        </row>
        <row r="39">
          <cell r="A39">
            <v>34</v>
          </cell>
          <cell r="D39">
            <v>952</v>
          </cell>
          <cell r="E39">
            <v>3074</v>
          </cell>
          <cell r="F39">
            <v>6273</v>
          </cell>
          <cell r="G39">
            <v>1067</v>
          </cell>
          <cell r="H39">
            <v>3190</v>
          </cell>
          <cell r="I39">
            <v>6389</v>
          </cell>
          <cell r="J39">
            <v>760</v>
          </cell>
          <cell r="K39">
            <v>2882</v>
          </cell>
          <cell r="L39">
            <v>6081</v>
          </cell>
        </row>
        <row r="40">
          <cell r="A40">
            <v>35</v>
          </cell>
          <cell r="D40">
            <v>974</v>
          </cell>
          <cell r="E40">
            <v>3144</v>
          </cell>
          <cell r="F40">
            <v>6416</v>
          </cell>
          <cell r="G40">
            <v>1092</v>
          </cell>
          <cell r="H40">
            <v>3262</v>
          </cell>
          <cell r="I40">
            <v>6534</v>
          </cell>
          <cell r="J40">
            <v>777</v>
          </cell>
          <cell r="K40">
            <v>2947</v>
          </cell>
          <cell r="L40">
            <v>6219</v>
          </cell>
        </row>
        <row r="41">
          <cell r="A41">
            <v>36</v>
          </cell>
          <cell r="D41">
            <v>992</v>
          </cell>
          <cell r="E41">
            <v>3203</v>
          </cell>
          <cell r="F41">
            <v>6535</v>
          </cell>
          <cell r="G41">
            <v>1112</v>
          </cell>
          <cell r="H41">
            <v>3323</v>
          </cell>
          <cell r="I41">
            <v>6656</v>
          </cell>
          <cell r="J41">
            <v>791</v>
          </cell>
          <cell r="K41">
            <v>3002</v>
          </cell>
          <cell r="L41">
            <v>6335</v>
          </cell>
        </row>
        <row r="42">
          <cell r="A42">
            <v>37</v>
          </cell>
          <cell r="D42">
            <v>986</v>
          </cell>
          <cell r="E42">
            <v>3184</v>
          </cell>
          <cell r="F42">
            <v>6498</v>
          </cell>
          <cell r="G42">
            <v>1106</v>
          </cell>
          <cell r="H42">
            <v>3304</v>
          </cell>
          <cell r="I42">
            <v>6618</v>
          </cell>
          <cell r="J42">
            <v>787</v>
          </cell>
          <cell r="K42">
            <v>2985</v>
          </cell>
          <cell r="L42">
            <v>6299</v>
          </cell>
        </row>
        <row r="43">
          <cell r="A43">
            <v>38</v>
          </cell>
          <cell r="D43">
            <v>946</v>
          </cell>
          <cell r="E43">
            <v>3054</v>
          </cell>
          <cell r="F43">
            <v>6231</v>
          </cell>
          <cell r="G43">
            <v>1060</v>
          </cell>
          <cell r="H43">
            <v>3168</v>
          </cell>
          <cell r="I43">
            <v>6346</v>
          </cell>
          <cell r="J43">
            <v>755</v>
          </cell>
          <cell r="K43">
            <v>2862</v>
          </cell>
          <cell r="L43">
            <v>6040</v>
          </cell>
        </row>
        <row r="44">
          <cell r="A44">
            <v>39</v>
          </cell>
          <cell r="D44">
            <v>942</v>
          </cell>
          <cell r="E44">
            <v>3042</v>
          </cell>
          <cell r="F44">
            <v>6208</v>
          </cell>
          <cell r="G44">
            <v>1056</v>
          </cell>
          <cell r="H44">
            <v>3156</v>
          </cell>
          <cell r="I44">
            <v>6322</v>
          </cell>
          <cell r="J44">
            <v>752</v>
          </cell>
          <cell r="K44">
            <v>2852</v>
          </cell>
          <cell r="L44">
            <v>6017</v>
          </cell>
        </row>
        <row r="45">
          <cell r="A45">
            <v>40</v>
          </cell>
          <cell r="D45">
            <v>950</v>
          </cell>
          <cell r="E45">
            <v>3068</v>
          </cell>
          <cell r="F45">
            <v>6261</v>
          </cell>
          <cell r="G45">
            <v>1065</v>
          </cell>
          <cell r="H45">
            <v>3183</v>
          </cell>
          <cell r="I45">
            <v>6376</v>
          </cell>
          <cell r="J45">
            <v>758</v>
          </cell>
          <cell r="K45">
            <v>2876</v>
          </cell>
          <cell r="L45">
            <v>6069</v>
          </cell>
        </row>
        <row r="46">
          <cell r="A46">
            <v>41</v>
          </cell>
          <cell r="D46">
            <v>1011</v>
          </cell>
          <cell r="E46">
            <v>3266</v>
          </cell>
          <cell r="F46">
            <v>6664</v>
          </cell>
          <cell r="G46">
            <v>1134</v>
          </cell>
          <cell r="H46">
            <v>3388</v>
          </cell>
          <cell r="I46">
            <v>6787</v>
          </cell>
          <cell r="J46">
            <v>807</v>
          </cell>
          <cell r="K46">
            <v>3062</v>
          </cell>
          <cell r="L46">
            <v>6460</v>
          </cell>
        </row>
        <row r="47">
          <cell r="A47">
            <v>42</v>
          </cell>
          <cell r="D47">
            <v>962</v>
          </cell>
          <cell r="E47">
            <v>3107</v>
          </cell>
          <cell r="F47">
            <v>6341</v>
          </cell>
          <cell r="G47">
            <v>1079</v>
          </cell>
          <cell r="H47">
            <v>3224</v>
          </cell>
          <cell r="I47">
            <v>6457</v>
          </cell>
          <cell r="J47">
            <v>768</v>
          </cell>
          <cell r="K47">
            <v>2913</v>
          </cell>
          <cell r="L47">
            <v>6146</v>
          </cell>
        </row>
        <row r="48">
          <cell r="A48">
            <v>43</v>
          </cell>
          <cell r="D48">
            <v>1008</v>
          </cell>
          <cell r="E48">
            <v>3255</v>
          </cell>
          <cell r="F48">
            <v>6643</v>
          </cell>
          <cell r="G48">
            <v>1130</v>
          </cell>
          <cell r="H48">
            <v>3378</v>
          </cell>
          <cell r="I48">
            <v>6765</v>
          </cell>
          <cell r="J48">
            <v>805</v>
          </cell>
          <cell r="K48">
            <v>3052</v>
          </cell>
          <cell r="L48">
            <v>6439</v>
          </cell>
        </row>
        <row r="49">
          <cell r="A49">
            <v>44</v>
          </cell>
          <cell r="D49">
            <v>1098</v>
          </cell>
          <cell r="E49">
            <v>3545</v>
          </cell>
          <cell r="F49">
            <v>7233</v>
          </cell>
          <cell r="G49">
            <v>1231</v>
          </cell>
          <cell r="H49">
            <v>3678</v>
          </cell>
          <cell r="I49">
            <v>7367</v>
          </cell>
          <cell r="J49">
            <v>876</v>
          </cell>
          <cell r="K49">
            <v>3323</v>
          </cell>
          <cell r="L49">
            <v>7012</v>
          </cell>
        </row>
        <row r="50">
          <cell r="A50">
            <v>45</v>
          </cell>
          <cell r="D50">
            <v>964</v>
          </cell>
          <cell r="E50">
            <v>3112</v>
          </cell>
          <cell r="F50">
            <v>6351</v>
          </cell>
          <cell r="G50">
            <v>1081</v>
          </cell>
          <cell r="H50">
            <v>3229</v>
          </cell>
          <cell r="I50">
            <v>6468</v>
          </cell>
          <cell r="J50">
            <v>769</v>
          </cell>
          <cell r="K50">
            <v>2917</v>
          </cell>
          <cell r="L50">
            <v>6156</v>
          </cell>
        </row>
        <row r="51">
          <cell r="A51">
            <v>46</v>
          </cell>
          <cell r="D51">
            <v>977</v>
          </cell>
          <cell r="E51">
            <v>3154</v>
          </cell>
          <cell r="F51">
            <v>6437</v>
          </cell>
          <cell r="G51">
            <v>1095</v>
          </cell>
          <cell r="H51">
            <v>3273</v>
          </cell>
          <cell r="I51">
            <v>6556</v>
          </cell>
          <cell r="J51">
            <v>780</v>
          </cell>
          <cell r="K51">
            <v>2957</v>
          </cell>
          <cell r="L51">
            <v>6240</v>
          </cell>
        </row>
        <row r="52">
          <cell r="A52">
            <v>47</v>
          </cell>
          <cell r="D52">
            <v>973</v>
          </cell>
          <cell r="E52">
            <v>3142</v>
          </cell>
          <cell r="F52">
            <v>6412</v>
          </cell>
          <cell r="G52">
            <v>1091</v>
          </cell>
          <cell r="H52">
            <v>3260</v>
          </cell>
          <cell r="I52">
            <v>6530</v>
          </cell>
          <cell r="J52">
            <v>777</v>
          </cell>
          <cell r="K52">
            <v>2946</v>
          </cell>
          <cell r="L52">
            <v>6216</v>
          </cell>
        </row>
        <row r="53">
          <cell r="A53">
            <v>48</v>
          </cell>
          <cell r="D53">
            <v>1015</v>
          </cell>
          <cell r="E53">
            <v>3278</v>
          </cell>
          <cell r="F53">
            <v>6689</v>
          </cell>
          <cell r="G53">
            <v>1138</v>
          </cell>
          <cell r="H53">
            <v>3401</v>
          </cell>
          <cell r="I53">
            <v>6812</v>
          </cell>
          <cell r="J53">
            <v>810</v>
          </cell>
          <cell r="K53">
            <v>3073</v>
          </cell>
          <cell r="L53">
            <v>6483</v>
          </cell>
        </row>
        <row r="54">
          <cell r="A54">
            <v>49</v>
          </cell>
          <cell r="D54">
            <v>982</v>
          </cell>
          <cell r="E54">
            <v>3170</v>
          </cell>
          <cell r="F54">
            <v>6470</v>
          </cell>
          <cell r="G54">
            <v>1101</v>
          </cell>
          <cell r="H54">
            <v>3290</v>
          </cell>
          <cell r="I54">
            <v>6589</v>
          </cell>
          <cell r="J54">
            <v>784</v>
          </cell>
          <cell r="K54">
            <v>2972</v>
          </cell>
          <cell r="L54">
            <v>6272</v>
          </cell>
        </row>
        <row r="55">
          <cell r="A55">
            <v>50</v>
          </cell>
          <cell r="D55">
            <v>1047</v>
          </cell>
          <cell r="E55">
            <v>3380</v>
          </cell>
          <cell r="F55">
            <v>6896</v>
          </cell>
          <cell r="G55">
            <v>1173</v>
          </cell>
          <cell r="H55">
            <v>3506</v>
          </cell>
          <cell r="I55">
            <v>7023</v>
          </cell>
          <cell r="J55">
            <v>835</v>
          </cell>
          <cell r="K55">
            <v>3168</v>
          </cell>
          <cell r="L55">
            <v>6685</v>
          </cell>
        </row>
        <row r="56">
          <cell r="A56">
            <v>51</v>
          </cell>
          <cell r="D56">
            <v>974</v>
          </cell>
          <cell r="E56">
            <v>3145</v>
          </cell>
          <cell r="F56">
            <v>6418</v>
          </cell>
          <cell r="G56">
            <v>1092</v>
          </cell>
          <cell r="H56">
            <v>3263</v>
          </cell>
          <cell r="I56">
            <v>6536</v>
          </cell>
          <cell r="J56">
            <v>777</v>
          </cell>
          <cell r="K56">
            <v>2948</v>
          </cell>
          <cell r="L56">
            <v>6221</v>
          </cell>
        </row>
        <row r="57">
          <cell r="A57">
            <v>52</v>
          </cell>
          <cell r="D57">
            <v>1039</v>
          </cell>
          <cell r="E57">
            <v>3355</v>
          </cell>
          <cell r="F57">
            <v>6847</v>
          </cell>
          <cell r="G57">
            <v>1165</v>
          </cell>
          <cell r="H57">
            <v>3481</v>
          </cell>
          <cell r="I57">
            <v>6973</v>
          </cell>
          <cell r="J57">
            <v>829</v>
          </cell>
          <cell r="K57">
            <v>3145</v>
          </cell>
          <cell r="L57">
            <v>6637</v>
          </cell>
        </row>
        <row r="58">
          <cell r="A58">
            <v>53</v>
          </cell>
          <cell r="D58">
            <v>978</v>
          </cell>
          <cell r="E58">
            <v>3159</v>
          </cell>
          <cell r="F58">
            <v>6446</v>
          </cell>
          <cell r="G58">
            <v>1097</v>
          </cell>
          <cell r="H58">
            <v>3278</v>
          </cell>
          <cell r="I58">
            <v>6565</v>
          </cell>
          <cell r="J58">
            <v>781</v>
          </cell>
          <cell r="K58">
            <v>2961</v>
          </cell>
          <cell r="L58">
            <v>6249</v>
          </cell>
        </row>
        <row r="59">
          <cell r="A59">
            <v>54</v>
          </cell>
          <cell r="D59">
            <v>954</v>
          </cell>
          <cell r="E59">
            <v>3079</v>
          </cell>
          <cell r="F59">
            <v>6283</v>
          </cell>
          <cell r="G59">
            <v>1069</v>
          </cell>
          <cell r="H59">
            <v>3195</v>
          </cell>
          <cell r="I59">
            <v>6399</v>
          </cell>
          <cell r="J59">
            <v>761</v>
          </cell>
          <cell r="K59">
            <v>2886</v>
          </cell>
          <cell r="L59">
            <v>6091</v>
          </cell>
        </row>
        <row r="60">
          <cell r="A60">
            <v>55</v>
          </cell>
          <cell r="D60">
            <v>994</v>
          </cell>
          <cell r="E60">
            <v>3208</v>
          </cell>
          <cell r="F60">
            <v>6547</v>
          </cell>
          <cell r="G60">
            <v>1114</v>
          </cell>
          <cell r="H60">
            <v>3329</v>
          </cell>
          <cell r="I60">
            <v>6668</v>
          </cell>
          <cell r="J60">
            <v>793</v>
          </cell>
          <cell r="K60">
            <v>3008</v>
          </cell>
          <cell r="L60">
            <v>6347</v>
          </cell>
        </row>
        <row r="61">
          <cell r="A61">
            <v>56</v>
          </cell>
          <cell r="D61">
            <v>978</v>
          </cell>
          <cell r="E61">
            <v>3158</v>
          </cell>
          <cell r="F61">
            <v>6444</v>
          </cell>
          <cell r="G61">
            <v>1097</v>
          </cell>
          <cell r="H61">
            <v>3277</v>
          </cell>
          <cell r="I61">
            <v>6563</v>
          </cell>
          <cell r="J61">
            <v>780</v>
          </cell>
          <cell r="K61">
            <v>2960</v>
          </cell>
          <cell r="L61">
            <v>6247</v>
          </cell>
        </row>
        <row r="62">
          <cell r="A62">
            <v>57</v>
          </cell>
          <cell r="D62">
            <v>952</v>
          </cell>
          <cell r="E62">
            <v>3074</v>
          </cell>
          <cell r="F62">
            <v>6273</v>
          </cell>
          <cell r="G62">
            <v>1067</v>
          </cell>
          <cell r="H62">
            <v>3190</v>
          </cell>
          <cell r="I62">
            <v>6389</v>
          </cell>
          <cell r="J62">
            <v>760</v>
          </cell>
          <cell r="K62">
            <v>2882</v>
          </cell>
          <cell r="L62">
            <v>6081</v>
          </cell>
        </row>
        <row r="63">
          <cell r="A63">
            <v>58</v>
          </cell>
          <cell r="D63">
            <v>1028</v>
          </cell>
          <cell r="E63">
            <v>3318</v>
          </cell>
          <cell r="F63">
            <v>6771</v>
          </cell>
          <cell r="G63">
            <v>1152</v>
          </cell>
          <cell r="H63">
            <v>3442</v>
          </cell>
          <cell r="I63">
            <v>6895</v>
          </cell>
          <cell r="J63">
            <v>820</v>
          </cell>
          <cell r="K63">
            <v>3110</v>
          </cell>
          <cell r="L63">
            <v>6563</v>
          </cell>
        </row>
        <row r="64">
          <cell r="A64">
            <v>59</v>
          </cell>
          <cell r="D64">
            <v>1009</v>
          </cell>
          <cell r="E64">
            <v>3258</v>
          </cell>
          <cell r="F64">
            <v>6648</v>
          </cell>
          <cell r="G64">
            <v>1131</v>
          </cell>
          <cell r="H64">
            <v>3380</v>
          </cell>
          <cell r="I64">
            <v>6771</v>
          </cell>
          <cell r="J64">
            <v>805</v>
          </cell>
          <cell r="K64">
            <v>3054</v>
          </cell>
          <cell r="L64">
            <v>6445</v>
          </cell>
        </row>
        <row r="65">
          <cell r="A65">
            <v>60</v>
          </cell>
          <cell r="D65">
            <v>936</v>
          </cell>
          <cell r="E65">
            <v>3021</v>
          </cell>
          <cell r="F65">
            <v>6164</v>
          </cell>
          <cell r="G65">
            <v>1049</v>
          </cell>
          <cell r="H65">
            <v>3134</v>
          </cell>
          <cell r="I65">
            <v>6278</v>
          </cell>
          <cell r="J65">
            <v>747</v>
          </cell>
          <cell r="K65">
            <v>2832</v>
          </cell>
          <cell r="L65">
            <v>5975</v>
          </cell>
        </row>
        <row r="66">
          <cell r="A66">
            <v>61</v>
          </cell>
          <cell r="D66">
            <v>943</v>
          </cell>
          <cell r="E66">
            <v>3045</v>
          </cell>
          <cell r="F66">
            <v>6214</v>
          </cell>
          <cell r="G66">
            <v>1057</v>
          </cell>
          <cell r="H66">
            <v>3159</v>
          </cell>
          <cell r="I66">
            <v>6328</v>
          </cell>
          <cell r="J66">
            <v>753</v>
          </cell>
          <cell r="K66">
            <v>2854</v>
          </cell>
          <cell r="L66">
            <v>6023</v>
          </cell>
        </row>
        <row r="67">
          <cell r="A67">
            <v>62</v>
          </cell>
          <cell r="D67">
            <v>964</v>
          </cell>
          <cell r="E67">
            <v>3112</v>
          </cell>
          <cell r="F67">
            <v>6352</v>
          </cell>
          <cell r="G67">
            <v>1081</v>
          </cell>
          <cell r="H67">
            <v>3229</v>
          </cell>
          <cell r="I67">
            <v>6468</v>
          </cell>
          <cell r="J67">
            <v>769</v>
          </cell>
          <cell r="K67">
            <v>2918</v>
          </cell>
          <cell r="L67">
            <v>6157</v>
          </cell>
        </row>
        <row r="68">
          <cell r="A68">
            <v>63</v>
          </cell>
          <cell r="D68">
            <v>945</v>
          </cell>
          <cell r="E68">
            <v>3052</v>
          </cell>
          <cell r="F68">
            <v>6228</v>
          </cell>
          <cell r="G68">
            <v>1060</v>
          </cell>
          <cell r="H68">
            <v>3166</v>
          </cell>
          <cell r="I68">
            <v>6342</v>
          </cell>
          <cell r="J68">
            <v>754</v>
          </cell>
          <cell r="K68">
            <v>2861</v>
          </cell>
          <cell r="L68">
            <v>6037</v>
          </cell>
        </row>
        <row r="69">
          <cell r="A69">
            <v>64</v>
          </cell>
          <cell r="D69">
            <v>979</v>
          </cell>
          <cell r="E69">
            <v>3161</v>
          </cell>
          <cell r="F69">
            <v>6451</v>
          </cell>
          <cell r="G69">
            <v>1098</v>
          </cell>
          <cell r="H69">
            <v>3280</v>
          </cell>
          <cell r="I69">
            <v>6569</v>
          </cell>
          <cell r="J69">
            <v>781</v>
          </cell>
          <cell r="K69">
            <v>2963</v>
          </cell>
          <cell r="L69">
            <v>6253</v>
          </cell>
        </row>
        <row r="70">
          <cell r="A70">
            <v>65</v>
          </cell>
          <cell r="D70">
            <v>957</v>
          </cell>
          <cell r="E70">
            <v>3090</v>
          </cell>
          <cell r="F70">
            <v>6305</v>
          </cell>
          <cell r="G70">
            <v>1073</v>
          </cell>
          <cell r="H70">
            <v>3206</v>
          </cell>
          <cell r="I70">
            <v>6421</v>
          </cell>
          <cell r="J70">
            <v>764</v>
          </cell>
          <cell r="K70">
            <v>2897</v>
          </cell>
          <cell r="L70">
            <v>6112</v>
          </cell>
        </row>
        <row r="71">
          <cell r="A71">
            <v>66</v>
          </cell>
          <cell r="D71">
            <v>951</v>
          </cell>
          <cell r="E71">
            <v>3071</v>
          </cell>
          <cell r="F71">
            <v>6267</v>
          </cell>
          <cell r="G71">
            <v>1066</v>
          </cell>
          <cell r="H71">
            <v>3186</v>
          </cell>
          <cell r="I71">
            <v>6382</v>
          </cell>
          <cell r="J71">
            <v>759</v>
          </cell>
          <cell r="K71">
            <v>2879</v>
          </cell>
          <cell r="L71">
            <v>6074</v>
          </cell>
        </row>
        <row r="72">
          <cell r="A72">
            <v>67</v>
          </cell>
          <cell r="D72">
            <v>923</v>
          </cell>
          <cell r="E72">
            <v>2981</v>
          </cell>
          <cell r="F72">
            <v>6083</v>
          </cell>
          <cell r="G72">
            <v>1035</v>
          </cell>
          <cell r="H72">
            <v>3093</v>
          </cell>
          <cell r="I72">
            <v>6195</v>
          </cell>
          <cell r="J72">
            <v>737</v>
          </cell>
          <cell r="K72">
            <v>2794</v>
          </cell>
          <cell r="L72">
            <v>5896</v>
          </cell>
        </row>
        <row r="73">
          <cell r="A73">
            <v>68</v>
          </cell>
          <cell r="D73">
            <v>923</v>
          </cell>
          <cell r="E73">
            <v>2981</v>
          </cell>
          <cell r="F73">
            <v>6083</v>
          </cell>
          <cell r="G73">
            <v>1035</v>
          </cell>
          <cell r="H73">
            <v>3093</v>
          </cell>
          <cell r="I73">
            <v>6195</v>
          </cell>
          <cell r="J73">
            <v>737</v>
          </cell>
          <cell r="K73">
            <v>2794</v>
          </cell>
          <cell r="L73">
            <v>5896</v>
          </cell>
        </row>
        <row r="74">
          <cell r="A74">
            <v>69</v>
          </cell>
          <cell r="D74">
            <v>986</v>
          </cell>
          <cell r="E74">
            <v>3184</v>
          </cell>
          <cell r="F74">
            <v>6498</v>
          </cell>
          <cell r="G74">
            <v>1106</v>
          </cell>
          <cell r="H74">
            <v>3304</v>
          </cell>
          <cell r="I74">
            <v>6618</v>
          </cell>
          <cell r="J74">
            <v>787</v>
          </cell>
          <cell r="K74">
            <v>2985</v>
          </cell>
          <cell r="L74">
            <v>6299</v>
          </cell>
        </row>
        <row r="75">
          <cell r="A75">
            <v>70</v>
          </cell>
          <cell r="D75">
            <v>1047</v>
          </cell>
          <cell r="E75">
            <v>3380</v>
          </cell>
          <cell r="F75">
            <v>6896</v>
          </cell>
          <cell r="G75">
            <v>1173</v>
          </cell>
          <cell r="H75">
            <v>3506</v>
          </cell>
          <cell r="I75">
            <v>7023</v>
          </cell>
          <cell r="J75">
            <v>835</v>
          </cell>
          <cell r="K75">
            <v>3168</v>
          </cell>
          <cell r="L75">
            <v>6685</v>
          </cell>
        </row>
        <row r="76">
          <cell r="A76">
            <v>71</v>
          </cell>
          <cell r="D76">
            <v>978</v>
          </cell>
          <cell r="E76">
            <v>3158</v>
          </cell>
          <cell r="F76">
            <v>6444</v>
          </cell>
          <cell r="G76">
            <v>1097</v>
          </cell>
          <cell r="H76">
            <v>3277</v>
          </cell>
          <cell r="I76">
            <v>6563</v>
          </cell>
          <cell r="J76">
            <v>780</v>
          </cell>
          <cell r="K76">
            <v>2960</v>
          </cell>
          <cell r="L76">
            <v>6247</v>
          </cell>
        </row>
        <row r="77">
          <cell r="A77">
            <v>72</v>
          </cell>
          <cell r="D77">
            <v>1058</v>
          </cell>
          <cell r="E77">
            <v>3418</v>
          </cell>
          <cell r="F77">
            <v>6974</v>
          </cell>
          <cell r="G77">
            <v>1187</v>
          </cell>
          <cell r="H77">
            <v>3546</v>
          </cell>
          <cell r="I77">
            <v>7102</v>
          </cell>
          <cell r="J77">
            <v>845</v>
          </cell>
          <cell r="K77">
            <v>3204</v>
          </cell>
          <cell r="L77">
            <v>6760</v>
          </cell>
        </row>
        <row r="78">
          <cell r="A78">
            <v>73</v>
          </cell>
          <cell r="D78">
            <v>986</v>
          </cell>
          <cell r="E78">
            <v>3184</v>
          </cell>
          <cell r="F78">
            <v>6498</v>
          </cell>
          <cell r="G78">
            <v>1106</v>
          </cell>
          <cell r="H78">
            <v>3304</v>
          </cell>
          <cell r="I78">
            <v>6618</v>
          </cell>
          <cell r="J78">
            <v>787</v>
          </cell>
          <cell r="K78">
            <v>2985</v>
          </cell>
          <cell r="L78">
            <v>6299</v>
          </cell>
        </row>
        <row r="79">
          <cell r="A79">
            <v>74</v>
          </cell>
          <cell r="D79">
            <v>975</v>
          </cell>
          <cell r="E79">
            <v>3147</v>
          </cell>
          <cell r="F79">
            <v>6422</v>
          </cell>
          <cell r="G79">
            <v>1093</v>
          </cell>
          <cell r="H79">
            <v>3265</v>
          </cell>
          <cell r="I79">
            <v>6540</v>
          </cell>
          <cell r="J79">
            <v>778</v>
          </cell>
          <cell r="K79">
            <v>2950</v>
          </cell>
          <cell r="L79">
            <v>6225</v>
          </cell>
        </row>
        <row r="80">
          <cell r="A80">
            <v>75</v>
          </cell>
          <cell r="D80">
            <v>1015</v>
          </cell>
          <cell r="E80">
            <v>3277</v>
          </cell>
          <cell r="F80">
            <v>6687</v>
          </cell>
          <cell r="G80">
            <v>1138</v>
          </cell>
          <cell r="H80">
            <v>3400</v>
          </cell>
          <cell r="I80">
            <v>6810</v>
          </cell>
          <cell r="J80">
            <v>810</v>
          </cell>
          <cell r="K80">
            <v>3072</v>
          </cell>
          <cell r="L80">
            <v>6482</v>
          </cell>
        </row>
      </sheetData>
      <sheetData sheetId="5">
        <row r="2">
          <cell r="B2" t="str">
            <v>2021-22 Transportation Calculation</v>
          </cell>
        </row>
        <row r="3">
          <cell r="B3" t="str">
            <v>Funding Per Student</v>
          </cell>
        </row>
        <row r="6">
          <cell r="F6" t="str">
            <v xml:space="preserve">Allocation </v>
          </cell>
          <cell r="J6" t="str">
            <v xml:space="preserve">Allocation </v>
          </cell>
        </row>
        <row r="7">
          <cell r="F7" t="str">
            <v>per Base</v>
          </cell>
          <cell r="J7" t="str">
            <v>per ESE</v>
          </cell>
        </row>
        <row r="8">
          <cell r="F8" t="str">
            <v>Student</v>
          </cell>
          <cell r="J8" t="str">
            <v>Student</v>
          </cell>
        </row>
        <row r="9">
          <cell r="F9" t="str">
            <v>-3-</v>
          </cell>
          <cell r="J9" t="str">
            <v>-6-</v>
          </cell>
        </row>
        <row r="10">
          <cell r="B10">
            <v>1</v>
          </cell>
          <cell r="F10">
            <v>411</v>
          </cell>
          <cell r="J10">
            <v>1468</v>
          </cell>
        </row>
        <row r="11">
          <cell r="B11">
            <v>2</v>
          </cell>
          <cell r="F11">
            <v>440</v>
          </cell>
          <cell r="J11">
            <v>1573</v>
          </cell>
        </row>
        <row r="12">
          <cell r="B12">
            <v>3</v>
          </cell>
          <cell r="F12">
            <v>402</v>
          </cell>
          <cell r="J12">
            <v>1437</v>
          </cell>
        </row>
        <row r="13">
          <cell r="B13">
            <v>4</v>
          </cell>
          <cell r="F13">
            <v>433</v>
          </cell>
          <cell r="J13">
            <v>1547</v>
          </cell>
        </row>
        <row r="14">
          <cell r="B14">
            <v>5</v>
          </cell>
          <cell r="F14">
            <v>407</v>
          </cell>
          <cell r="J14">
            <v>1452</v>
          </cell>
        </row>
        <row r="15">
          <cell r="B15">
            <v>6</v>
          </cell>
          <cell r="F15">
            <v>400</v>
          </cell>
          <cell r="J15">
            <v>1429</v>
          </cell>
        </row>
        <row r="16">
          <cell r="B16">
            <v>7</v>
          </cell>
          <cell r="F16">
            <v>420</v>
          </cell>
          <cell r="J16">
            <v>1500</v>
          </cell>
        </row>
        <row r="17">
          <cell r="B17">
            <v>8</v>
          </cell>
          <cell r="F17">
            <v>409</v>
          </cell>
          <cell r="J17">
            <v>1461</v>
          </cell>
        </row>
        <row r="18">
          <cell r="B18">
            <v>9</v>
          </cell>
          <cell r="F18">
            <v>420</v>
          </cell>
          <cell r="J18">
            <v>1501</v>
          </cell>
        </row>
        <row r="19">
          <cell r="B19">
            <v>10</v>
          </cell>
          <cell r="F19">
            <v>429</v>
          </cell>
          <cell r="J19">
            <v>1530</v>
          </cell>
        </row>
        <row r="20">
          <cell r="B20">
            <v>11</v>
          </cell>
          <cell r="F20">
            <v>404</v>
          </cell>
          <cell r="J20">
            <v>1444</v>
          </cell>
        </row>
        <row r="21">
          <cell r="B21">
            <v>12</v>
          </cell>
          <cell r="F21">
            <v>446</v>
          </cell>
          <cell r="J21">
            <v>1592</v>
          </cell>
        </row>
        <row r="22">
          <cell r="B22">
            <v>13</v>
          </cell>
          <cell r="F22">
            <v>374</v>
          </cell>
          <cell r="J22">
            <v>1336</v>
          </cell>
        </row>
        <row r="23">
          <cell r="B23">
            <v>14</v>
          </cell>
          <cell r="F23">
            <v>435</v>
          </cell>
          <cell r="J23">
            <v>1553</v>
          </cell>
        </row>
        <row r="24">
          <cell r="B24">
            <v>15</v>
          </cell>
          <cell r="F24">
            <v>435</v>
          </cell>
          <cell r="J24">
            <v>1555</v>
          </cell>
        </row>
        <row r="25">
          <cell r="B25">
            <v>16</v>
          </cell>
          <cell r="F25">
            <v>380</v>
          </cell>
          <cell r="J25">
            <v>1357</v>
          </cell>
        </row>
        <row r="26">
          <cell r="B26">
            <v>17</v>
          </cell>
          <cell r="F26">
            <v>409</v>
          </cell>
          <cell r="J26">
            <v>1462</v>
          </cell>
        </row>
        <row r="27">
          <cell r="B27">
            <v>18</v>
          </cell>
          <cell r="F27">
            <v>406</v>
          </cell>
          <cell r="J27">
            <v>1451</v>
          </cell>
        </row>
        <row r="28">
          <cell r="B28">
            <v>19</v>
          </cell>
          <cell r="F28">
            <v>416</v>
          </cell>
          <cell r="J28">
            <v>1486</v>
          </cell>
        </row>
        <row r="29">
          <cell r="B29">
            <v>20</v>
          </cell>
          <cell r="F29">
            <v>432</v>
          </cell>
          <cell r="J29">
            <v>1544</v>
          </cell>
        </row>
        <row r="30">
          <cell r="B30">
            <v>21</v>
          </cell>
          <cell r="F30">
            <v>444</v>
          </cell>
          <cell r="J30">
            <v>1585</v>
          </cell>
        </row>
        <row r="31">
          <cell r="B31">
            <v>22</v>
          </cell>
          <cell r="F31">
            <v>429</v>
          </cell>
          <cell r="J31">
            <v>1529</v>
          </cell>
        </row>
        <row r="32">
          <cell r="B32">
            <v>23</v>
          </cell>
          <cell r="F32">
            <v>425</v>
          </cell>
          <cell r="J32">
            <v>1516</v>
          </cell>
        </row>
        <row r="33">
          <cell r="B33">
            <v>24</v>
          </cell>
          <cell r="F33">
            <v>427</v>
          </cell>
          <cell r="J33">
            <v>1525</v>
          </cell>
        </row>
        <row r="34">
          <cell r="B34">
            <v>25</v>
          </cell>
          <cell r="F34">
            <v>453</v>
          </cell>
          <cell r="J34">
            <v>1618</v>
          </cell>
        </row>
        <row r="35">
          <cell r="B35">
            <v>26</v>
          </cell>
          <cell r="F35">
            <v>433</v>
          </cell>
          <cell r="J35">
            <v>1546</v>
          </cell>
        </row>
        <row r="36">
          <cell r="B36">
            <v>27</v>
          </cell>
          <cell r="F36">
            <v>457</v>
          </cell>
          <cell r="J36">
            <v>1631</v>
          </cell>
        </row>
        <row r="37">
          <cell r="B37">
            <v>28</v>
          </cell>
          <cell r="F37">
            <v>412</v>
          </cell>
          <cell r="J37">
            <v>1470</v>
          </cell>
        </row>
        <row r="38">
          <cell r="B38">
            <v>29</v>
          </cell>
          <cell r="F38">
            <v>421</v>
          </cell>
          <cell r="J38">
            <v>1504</v>
          </cell>
        </row>
        <row r="39">
          <cell r="B39">
            <v>30</v>
          </cell>
          <cell r="F39">
            <v>428</v>
          </cell>
          <cell r="J39">
            <v>1529</v>
          </cell>
        </row>
        <row r="40">
          <cell r="B40">
            <v>31</v>
          </cell>
          <cell r="F40">
            <v>411</v>
          </cell>
          <cell r="J40">
            <v>1468</v>
          </cell>
        </row>
        <row r="41">
          <cell r="B41">
            <v>32</v>
          </cell>
          <cell r="F41">
            <v>423</v>
          </cell>
          <cell r="J41">
            <v>1510</v>
          </cell>
        </row>
        <row r="42">
          <cell r="B42">
            <v>33</v>
          </cell>
          <cell r="F42">
            <v>467</v>
          </cell>
          <cell r="J42">
            <v>1666</v>
          </cell>
        </row>
        <row r="43">
          <cell r="B43">
            <v>34</v>
          </cell>
          <cell r="F43">
            <v>444</v>
          </cell>
          <cell r="J43">
            <v>0</v>
          </cell>
        </row>
        <row r="44">
          <cell r="B44">
            <v>35</v>
          </cell>
          <cell r="F44">
            <v>412</v>
          </cell>
          <cell r="J44">
            <v>1472</v>
          </cell>
        </row>
        <row r="45">
          <cell r="B45">
            <v>36</v>
          </cell>
          <cell r="F45">
            <v>406</v>
          </cell>
          <cell r="J45">
            <v>1452</v>
          </cell>
        </row>
        <row r="46">
          <cell r="B46">
            <v>37</v>
          </cell>
          <cell r="F46">
            <v>407</v>
          </cell>
          <cell r="J46">
            <v>1454</v>
          </cell>
        </row>
        <row r="47">
          <cell r="B47">
            <v>38</v>
          </cell>
          <cell r="F47">
            <v>454</v>
          </cell>
          <cell r="J47">
            <v>1621</v>
          </cell>
        </row>
        <row r="48">
          <cell r="B48">
            <v>39</v>
          </cell>
          <cell r="F48">
            <v>450</v>
          </cell>
          <cell r="J48">
            <v>1607</v>
          </cell>
        </row>
        <row r="49">
          <cell r="B49">
            <v>40</v>
          </cell>
          <cell r="F49">
            <v>423</v>
          </cell>
          <cell r="J49">
            <v>1512</v>
          </cell>
        </row>
        <row r="50">
          <cell r="B50">
            <v>41</v>
          </cell>
          <cell r="F50">
            <v>414</v>
          </cell>
          <cell r="J50">
            <v>1478</v>
          </cell>
        </row>
        <row r="51">
          <cell r="B51">
            <v>42</v>
          </cell>
          <cell r="F51">
            <v>428</v>
          </cell>
          <cell r="J51">
            <v>1528</v>
          </cell>
        </row>
        <row r="52">
          <cell r="B52">
            <v>43</v>
          </cell>
          <cell r="F52">
            <v>432</v>
          </cell>
          <cell r="J52">
            <v>1544</v>
          </cell>
        </row>
        <row r="53">
          <cell r="B53">
            <v>44</v>
          </cell>
          <cell r="F53">
            <v>406</v>
          </cell>
          <cell r="J53">
            <v>1450</v>
          </cell>
        </row>
        <row r="54">
          <cell r="B54">
            <v>45</v>
          </cell>
          <cell r="F54">
            <v>457</v>
          </cell>
          <cell r="J54">
            <v>1632</v>
          </cell>
        </row>
        <row r="55">
          <cell r="B55">
            <v>46</v>
          </cell>
          <cell r="F55">
            <v>412</v>
          </cell>
          <cell r="J55">
            <v>1473</v>
          </cell>
        </row>
        <row r="56">
          <cell r="B56">
            <v>47</v>
          </cell>
          <cell r="F56">
            <v>426</v>
          </cell>
          <cell r="J56">
            <v>1523</v>
          </cell>
        </row>
        <row r="57">
          <cell r="B57">
            <v>48</v>
          </cell>
          <cell r="F57">
            <v>415</v>
          </cell>
          <cell r="J57">
            <v>1482</v>
          </cell>
        </row>
        <row r="58">
          <cell r="B58">
            <v>49</v>
          </cell>
          <cell r="F58">
            <v>419</v>
          </cell>
          <cell r="J58">
            <v>1497</v>
          </cell>
        </row>
        <row r="59">
          <cell r="B59">
            <v>50</v>
          </cell>
          <cell r="F59">
            <v>417</v>
          </cell>
          <cell r="J59">
            <v>1488</v>
          </cell>
        </row>
        <row r="60">
          <cell r="B60">
            <v>51</v>
          </cell>
          <cell r="F60">
            <v>419</v>
          </cell>
          <cell r="J60">
            <v>1496</v>
          </cell>
        </row>
        <row r="61">
          <cell r="B61">
            <v>52</v>
          </cell>
          <cell r="F61">
            <v>394</v>
          </cell>
          <cell r="J61">
            <v>1406</v>
          </cell>
        </row>
        <row r="62">
          <cell r="B62">
            <v>53</v>
          </cell>
          <cell r="F62">
            <v>427</v>
          </cell>
          <cell r="J62">
            <v>1525</v>
          </cell>
        </row>
        <row r="63">
          <cell r="B63">
            <v>54</v>
          </cell>
          <cell r="F63">
            <v>446</v>
          </cell>
          <cell r="J63">
            <v>1592</v>
          </cell>
        </row>
        <row r="64">
          <cell r="B64">
            <v>55</v>
          </cell>
          <cell r="F64">
            <v>456</v>
          </cell>
          <cell r="J64">
            <v>1628</v>
          </cell>
        </row>
        <row r="65">
          <cell r="B65">
            <v>56</v>
          </cell>
          <cell r="F65">
            <v>403</v>
          </cell>
          <cell r="J65">
            <v>1438</v>
          </cell>
        </row>
        <row r="66">
          <cell r="B66">
            <v>57</v>
          </cell>
          <cell r="F66">
            <v>424</v>
          </cell>
          <cell r="J66">
            <v>1513</v>
          </cell>
        </row>
        <row r="67">
          <cell r="B67">
            <v>58</v>
          </cell>
          <cell r="F67">
            <v>405</v>
          </cell>
          <cell r="J67">
            <v>1448</v>
          </cell>
        </row>
        <row r="68">
          <cell r="B68">
            <v>59</v>
          </cell>
          <cell r="F68">
            <v>417</v>
          </cell>
          <cell r="J68">
            <v>1491</v>
          </cell>
        </row>
        <row r="69">
          <cell r="B69">
            <v>60</v>
          </cell>
          <cell r="F69">
            <v>401</v>
          </cell>
          <cell r="J69">
            <v>1433</v>
          </cell>
        </row>
        <row r="70">
          <cell r="B70">
            <v>61</v>
          </cell>
          <cell r="F70">
            <v>442</v>
          </cell>
          <cell r="J70">
            <v>1578</v>
          </cell>
        </row>
        <row r="71">
          <cell r="B71">
            <v>62</v>
          </cell>
          <cell r="F71">
            <v>431</v>
          </cell>
          <cell r="J71">
            <v>1538</v>
          </cell>
        </row>
        <row r="72">
          <cell r="B72">
            <v>63</v>
          </cell>
          <cell r="F72">
            <v>442</v>
          </cell>
          <cell r="J72">
            <v>1578</v>
          </cell>
        </row>
        <row r="73">
          <cell r="B73">
            <v>64</v>
          </cell>
          <cell r="F73">
            <v>455</v>
          </cell>
          <cell r="J73">
            <v>1625</v>
          </cell>
        </row>
        <row r="74">
          <cell r="B74">
            <v>65</v>
          </cell>
          <cell r="F74">
            <v>467</v>
          </cell>
          <cell r="J74">
            <v>1669</v>
          </cell>
        </row>
        <row r="75">
          <cell r="B75">
            <v>66</v>
          </cell>
          <cell r="F75">
            <v>449</v>
          </cell>
          <cell r="J75">
            <v>1605</v>
          </cell>
        </row>
        <row r="76">
          <cell r="B76">
            <v>67</v>
          </cell>
          <cell r="F76">
            <v>442</v>
          </cell>
          <cell r="J76">
            <v>1577</v>
          </cell>
        </row>
        <row r="77">
          <cell r="F77">
            <v>414</v>
          </cell>
          <cell r="J77">
            <v>1471</v>
          </cell>
        </row>
      </sheetData>
      <sheetData sheetId="6">
        <row r="87">
          <cell r="H87">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108"/>
  <sheetViews>
    <sheetView tabSelected="1" topLeftCell="A25" workbookViewId="0">
      <selection activeCell="I27" sqref="I27"/>
    </sheetView>
  </sheetViews>
  <sheetFormatPr defaultRowHeight="15" outlineLevelRow="4" outlineLevelCol="1" x14ac:dyDescent="0.25"/>
  <cols>
    <col min="1" max="4" width="3" style="12" customWidth="1"/>
    <col min="5" max="5" width="36.5703125" style="12" customWidth="1"/>
    <col min="6" max="6" width="8.85546875" style="13" customWidth="1" outlineLevel="1"/>
    <col min="7" max="10" width="8.7109375" style="13" customWidth="1" outlineLevel="1"/>
    <col min="11" max="11" width="9.42578125" style="13" customWidth="1" outlineLevel="1"/>
    <col min="12" max="17" width="8.7109375" style="13" customWidth="1" outlineLevel="1"/>
    <col min="18" max="18" width="10" style="13" bestFit="1" customWidth="1"/>
  </cols>
  <sheetData>
    <row r="1" spans="1:18" s="11" customFormat="1" ht="15.75" thickBot="1" x14ac:dyDescent="0.3">
      <c r="A1" s="9"/>
      <c r="B1" s="9"/>
      <c r="C1" s="9"/>
      <c r="D1" s="9"/>
      <c r="E1" s="9"/>
      <c r="F1" s="10" t="s">
        <v>252</v>
      </c>
      <c r="G1" s="10" t="s">
        <v>253</v>
      </c>
      <c r="H1" s="10" t="s">
        <v>254</v>
      </c>
      <c r="I1" s="10" t="s">
        <v>255</v>
      </c>
      <c r="J1" s="10" t="s">
        <v>256</v>
      </c>
      <c r="K1" s="10" t="s">
        <v>257</v>
      </c>
      <c r="L1" s="10" t="s">
        <v>258</v>
      </c>
      <c r="M1" s="10" t="s">
        <v>259</v>
      </c>
      <c r="N1" s="10" t="s">
        <v>260</v>
      </c>
      <c r="O1" s="10" t="s">
        <v>261</v>
      </c>
      <c r="P1" s="10" t="s">
        <v>262</v>
      </c>
      <c r="Q1" s="10" t="s">
        <v>263</v>
      </c>
      <c r="R1" s="10" t="s">
        <v>0</v>
      </c>
    </row>
    <row r="2" spans="1:18" ht="15.75" outlineLevel="2" thickTop="1" x14ac:dyDescent="0.25">
      <c r="A2" s="1"/>
      <c r="B2" s="1" t="s">
        <v>1</v>
      </c>
      <c r="C2" s="1"/>
      <c r="D2" s="1"/>
      <c r="E2" s="1"/>
      <c r="F2" s="2"/>
      <c r="G2" s="2"/>
      <c r="H2" s="2"/>
      <c r="I2" s="2"/>
      <c r="J2" s="2"/>
      <c r="K2" s="2"/>
      <c r="L2" s="2"/>
      <c r="M2" s="2"/>
      <c r="N2" s="2"/>
      <c r="O2" s="2"/>
      <c r="P2" s="2"/>
      <c r="Q2" s="2"/>
      <c r="R2" s="2"/>
    </row>
    <row r="3" spans="1:18" hidden="1" outlineLevel="3" x14ac:dyDescent="0.25">
      <c r="A3" s="1"/>
      <c r="B3" s="1"/>
      <c r="C3" s="1" t="s">
        <v>2</v>
      </c>
      <c r="D3" s="1"/>
      <c r="E3" s="1"/>
      <c r="F3" s="2"/>
      <c r="G3" s="2"/>
      <c r="H3" s="2"/>
      <c r="I3" s="2"/>
      <c r="J3" s="2"/>
      <c r="K3" s="2"/>
      <c r="L3" s="2"/>
      <c r="M3" s="2"/>
      <c r="N3" s="2"/>
      <c r="O3" s="2"/>
      <c r="P3" s="2"/>
      <c r="Q3" s="2"/>
      <c r="R3" s="2"/>
    </row>
    <row r="4" spans="1:18" hidden="1" outlineLevel="3" x14ac:dyDescent="0.25">
      <c r="A4" s="1"/>
      <c r="B4" s="1"/>
      <c r="C4" s="1"/>
      <c r="D4" s="1" t="s">
        <v>3</v>
      </c>
      <c r="E4" s="1"/>
      <c r="F4" s="2">
        <f>+FEFP!H90/12</f>
        <v>36927</v>
      </c>
      <c r="G4" s="2">
        <f t="shared" ref="G4:Q4" si="0">+F4</f>
        <v>36927</v>
      </c>
      <c r="H4" s="2">
        <f t="shared" si="0"/>
        <v>36927</v>
      </c>
      <c r="I4" s="2">
        <f t="shared" si="0"/>
        <v>36927</v>
      </c>
      <c r="J4" s="2">
        <f t="shared" si="0"/>
        <v>36927</v>
      </c>
      <c r="K4" s="2">
        <f t="shared" si="0"/>
        <v>36927</v>
      </c>
      <c r="L4" s="2">
        <f t="shared" si="0"/>
        <v>36927</v>
      </c>
      <c r="M4" s="2">
        <f t="shared" si="0"/>
        <v>36927</v>
      </c>
      <c r="N4" s="2">
        <f t="shared" si="0"/>
        <v>36927</v>
      </c>
      <c r="O4" s="2">
        <f t="shared" si="0"/>
        <v>36927</v>
      </c>
      <c r="P4" s="2">
        <f t="shared" si="0"/>
        <v>36927</v>
      </c>
      <c r="Q4" s="2">
        <f t="shared" si="0"/>
        <v>36927</v>
      </c>
      <c r="R4" s="2">
        <f t="shared" ref="R4:R23" si="1">ROUND(SUM(F4:Q4),5)</f>
        <v>443124</v>
      </c>
    </row>
    <row r="5" spans="1:18" hidden="1" outlineLevel="3" x14ac:dyDescent="0.25">
      <c r="A5" s="1"/>
      <c r="B5" s="1"/>
      <c r="C5" s="1"/>
      <c r="D5" s="1" t="s">
        <v>4</v>
      </c>
      <c r="E5" s="1"/>
      <c r="F5" s="2">
        <v>0</v>
      </c>
      <c r="G5" s="2">
        <v>0</v>
      </c>
      <c r="H5" s="2">
        <v>0</v>
      </c>
      <c r="I5" s="2">
        <v>0</v>
      </c>
      <c r="J5" s="2">
        <v>0</v>
      </c>
      <c r="K5" s="2">
        <v>0</v>
      </c>
      <c r="L5" s="2">
        <v>0</v>
      </c>
      <c r="M5" s="2">
        <v>0</v>
      </c>
      <c r="N5" s="2">
        <v>0</v>
      </c>
      <c r="O5" s="2">
        <v>0</v>
      </c>
      <c r="P5" s="2">
        <v>0</v>
      </c>
      <c r="Q5" s="2">
        <v>0</v>
      </c>
      <c r="R5" s="2">
        <f t="shared" si="1"/>
        <v>0</v>
      </c>
    </row>
    <row r="6" spans="1:18" hidden="1" outlineLevel="3" x14ac:dyDescent="0.25">
      <c r="A6" s="1"/>
      <c r="B6" s="1"/>
      <c r="C6" s="1"/>
      <c r="D6" s="1" t="s">
        <v>5</v>
      </c>
      <c r="E6" s="1"/>
      <c r="F6" s="2">
        <v>0</v>
      </c>
      <c r="G6" s="2">
        <v>0</v>
      </c>
      <c r="H6" s="2">
        <v>0</v>
      </c>
      <c r="I6" s="2">
        <v>0</v>
      </c>
      <c r="J6" s="2">
        <v>0</v>
      </c>
      <c r="K6" s="2">
        <v>0</v>
      </c>
      <c r="L6" s="2">
        <v>0</v>
      </c>
      <c r="M6" s="2">
        <v>0</v>
      </c>
      <c r="N6" s="2">
        <v>0</v>
      </c>
      <c r="O6" s="2">
        <v>0</v>
      </c>
      <c r="P6" s="2">
        <v>0</v>
      </c>
      <c r="Q6" s="2">
        <v>0</v>
      </c>
      <c r="R6" s="2">
        <f t="shared" si="1"/>
        <v>0</v>
      </c>
    </row>
    <row r="7" spans="1:18" hidden="1" outlineLevel="3" x14ac:dyDescent="0.25">
      <c r="A7" s="1"/>
      <c r="B7" s="1"/>
      <c r="C7" s="1"/>
      <c r="D7" s="1" t="s">
        <v>6</v>
      </c>
      <c r="E7" s="1"/>
      <c r="F7" s="2">
        <v>0</v>
      </c>
      <c r="G7" s="2">
        <v>0</v>
      </c>
      <c r="H7" s="2">
        <v>0</v>
      </c>
      <c r="I7" s="2">
        <v>0</v>
      </c>
      <c r="J7" s="2">
        <v>0</v>
      </c>
      <c r="K7" s="2">
        <v>0</v>
      </c>
      <c r="L7" s="2">
        <v>0</v>
      </c>
      <c r="M7" s="2">
        <v>0</v>
      </c>
      <c r="N7" s="2">
        <v>0</v>
      </c>
      <c r="O7" s="2">
        <v>0</v>
      </c>
      <c r="P7" s="2">
        <v>0</v>
      </c>
      <c r="Q7" s="2">
        <v>0</v>
      </c>
      <c r="R7" s="2">
        <f t="shared" si="1"/>
        <v>0</v>
      </c>
    </row>
    <row r="8" spans="1:18" hidden="1" outlineLevel="3" x14ac:dyDescent="0.25">
      <c r="A8" s="1"/>
      <c r="B8" s="1"/>
      <c r="C8" s="1"/>
      <c r="D8" s="1" t="s">
        <v>7</v>
      </c>
      <c r="E8" s="1"/>
      <c r="F8" s="2">
        <v>0</v>
      </c>
      <c r="G8" s="2">
        <v>0</v>
      </c>
      <c r="H8" s="2">
        <v>0</v>
      </c>
      <c r="I8" s="2">
        <v>0</v>
      </c>
      <c r="J8" s="2">
        <v>0</v>
      </c>
      <c r="K8" s="2">
        <v>0</v>
      </c>
      <c r="L8" s="2">
        <v>0</v>
      </c>
      <c r="M8" s="2">
        <v>0</v>
      </c>
      <c r="N8" s="2">
        <v>0</v>
      </c>
      <c r="O8" s="2">
        <v>0</v>
      </c>
      <c r="P8" s="2">
        <v>0</v>
      </c>
      <c r="Q8" s="2">
        <v>0</v>
      </c>
      <c r="R8" s="2">
        <f t="shared" si="1"/>
        <v>0</v>
      </c>
    </row>
    <row r="9" spans="1:18" hidden="1" outlineLevel="3" x14ac:dyDescent="0.25">
      <c r="A9" s="1"/>
      <c r="B9" s="1"/>
      <c r="C9" s="1"/>
      <c r="D9" s="1" t="s">
        <v>8</v>
      </c>
      <c r="E9" s="1"/>
      <c r="F9" s="2">
        <v>0</v>
      </c>
      <c r="G9" s="2">
        <v>0</v>
      </c>
      <c r="H9" s="2">
        <v>0</v>
      </c>
      <c r="I9" s="2">
        <v>0</v>
      </c>
      <c r="J9" s="2">
        <v>0</v>
      </c>
      <c r="K9" s="2">
        <v>0</v>
      </c>
      <c r="L9" s="2">
        <v>0</v>
      </c>
      <c r="M9" s="2">
        <v>0</v>
      </c>
      <c r="N9" s="2">
        <v>0</v>
      </c>
      <c r="O9" s="2">
        <v>0</v>
      </c>
      <c r="P9" s="2">
        <v>0</v>
      </c>
      <c r="Q9" s="2">
        <v>0</v>
      </c>
      <c r="R9" s="2">
        <f t="shared" si="1"/>
        <v>0</v>
      </c>
    </row>
    <row r="10" spans="1:18" hidden="1" outlineLevel="3" x14ac:dyDescent="0.25">
      <c r="A10" s="1"/>
      <c r="B10" s="1"/>
      <c r="C10" s="1"/>
      <c r="D10" s="1" t="s">
        <v>9</v>
      </c>
      <c r="E10" s="1"/>
      <c r="F10" s="2">
        <v>0</v>
      </c>
      <c r="G10" s="2">
        <v>0</v>
      </c>
      <c r="H10" s="2">
        <v>0</v>
      </c>
      <c r="I10" s="2">
        <v>0</v>
      </c>
      <c r="J10" s="2">
        <v>0</v>
      </c>
      <c r="K10" s="2">
        <v>0</v>
      </c>
      <c r="L10" s="2">
        <v>0</v>
      </c>
      <c r="M10" s="2">
        <v>0</v>
      </c>
      <c r="N10" s="2">
        <v>0</v>
      </c>
      <c r="O10" s="2">
        <v>0</v>
      </c>
      <c r="P10" s="2">
        <v>0</v>
      </c>
      <c r="Q10" s="2">
        <v>0</v>
      </c>
      <c r="R10" s="2">
        <f t="shared" si="1"/>
        <v>0</v>
      </c>
    </row>
    <row r="11" spans="1:18" hidden="1" outlineLevel="3" x14ac:dyDescent="0.25">
      <c r="A11" s="1"/>
      <c r="B11" s="1"/>
      <c r="C11" s="1"/>
      <c r="D11" s="1" t="s">
        <v>10</v>
      </c>
      <c r="E11" s="1"/>
      <c r="F11" s="2">
        <v>0</v>
      </c>
      <c r="G11" s="2">
        <v>0</v>
      </c>
      <c r="H11" s="2">
        <v>0</v>
      </c>
      <c r="I11" s="2">
        <v>0</v>
      </c>
      <c r="J11" s="2">
        <v>0</v>
      </c>
      <c r="K11" s="2">
        <v>0</v>
      </c>
      <c r="L11" s="2">
        <v>0</v>
      </c>
      <c r="M11" s="2">
        <v>0</v>
      </c>
      <c r="N11" s="2">
        <v>0</v>
      </c>
      <c r="O11" s="2">
        <v>0</v>
      </c>
      <c r="P11" s="2">
        <v>0</v>
      </c>
      <c r="Q11" s="2">
        <v>0</v>
      </c>
      <c r="R11" s="2">
        <f t="shared" si="1"/>
        <v>0</v>
      </c>
    </row>
    <row r="12" spans="1:18" hidden="1" outlineLevel="3" x14ac:dyDescent="0.25">
      <c r="A12" s="1"/>
      <c r="B12" s="1"/>
      <c r="C12" s="1"/>
      <c r="D12" s="1" t="s">
        <v>11</v>
      </c>
      <c r="E12" s="1"/>
      <c r="F12" s="2">
        <v>0</v>
      </c>
      <c r="G12" s="2">
        <v>0</v>
      </c>
      <c r="H12" s="2">
        <v>0</v>
      </c>
      <c r="I12" s="2">
        <v>0</v>
      </c>
      <c r="J12" s="2">
        <v>0</v>
      </c>
      <c r="K12" s="2">
        <v>0</v>
      </c>
      <c r="L12" s="2">
        <v>0</v>
      </c>
      <c r="M12" s="2">
        <v>0</v>
      </c>
      <c r="N12" s="2">
        <v>0</v>
      </c>
      <c r="O12" s="2">
        <v>0</v>
      </c>
      <c r="P12" s="2">
        <v>0</v>
      </c>
      <c r="Q12" s="2">
        <v>0</v>
      </c>
      <c r="R12" s="2">
        <f t="shared" si="1"/>
        <v>0</v>
      </c>
    </row>
    <row r="13" spans="1:18" hidden="1" outlineLevel="3" x14ac:dyDescent="0.25">
      <c r="A13" s="1"/>
      <c r="B13" s="1"/>
      <c r="C13" s="1"/>
      <c r="D13" s="1" t="s">
        <v>12</v>
      </c>
      <c r="E13" s="1"/>
      <c r="F13" s="2">
        <v>0</v>
      </c>
      <c r="G13" s="2">
        <v>0</v>
      </c>
      <c r="H13" s="2">
        <v>0</v>
      </c>
      <c r="I13" s="2">
        <v>0</v>
      </c>
      <c r="J13" s="2">
        <v>0</v>
      </c>
      <c r="K13" s="2">
        <v>0</v>
      </c>
      <c r="L13" s="2">
        <v>0</v>
      </c>
      <c r="M13" s="2">
        <v>0</v>
      </c>
      <c r="N13" s="2">
        <v>0</v>
      </c>
      <c r="O13" s="2">
        <v>0</v>
      </c>
      <c r="P13" s="2">
        <v>0</v>
      </c>
      <c r="Q13" s="2">
        <v>0</v>
      </c>
      <c r="R13" s="2">
        <f t="shared" si="1"/>
        <v>0</v>
      </c>
    </row>
    <row r="14" spans="1:18" hidden="1" outlineLevel="3" x14ac:dyDescent="0.25">
      <c r="A14" s="1"/>
      <c r="B14" s="1"/>
      <c r="C14" s="1"/>
      <c r="D14" s="1" t="s">
        <v>13</v>
      </c>
      <c r="E14" s="1"/>
      <c r="F14" s="2">
        <v>0</v>
      </c>
      <c r="G14" s="2">
        <v>0</v>
      </c>
      <c r="H14" s="2">
        <v>0</v>
      </c>
      <c r="I14" s="2">
        <v>0</v>
      </c>
      <c r="J14" s="2">
        <v>0</v>
      </c>
      <c r="K14" s="2">
        <v>0</v>
      </c>
      <c r="L14" s="2">
        <v>0</v>
      </c>
      <c r="M14" s="2">
        <v>0</v>
      </c>
      <c r="N14" s="2">
        <v>0</v>
      </c>
      <c r="O14" s="2">
        <v>0</v>
      </c>
      <c r="P14" s="2">
        <v>0</v>
      </c>
      <c r="Q14" s="2">
        <v>0</v>
      </c>
      <c r="R14" s="2">
        <f t="shared" si="1"/>
        <v>0</v>
      </c>
    </row>
    <row r="15" spans="1:18" hidden="1" outlineLevel="3" x14ac:dyDescent="0.25">
      <c r="A15" s="1"/>
      <c r="B15" s="1"/>
      <c r="C15" s="1"/>
      <c r="D15" s="1" t="s">
        <v>14</v>
      </c>
      <c r="E15" s="1"/>
      <c r="F15" s="2">
        <v>0</v>
      </c>
      <c r="G15" s="2">
        <v>0</v>
      </c>
      <c r="H15" s="2">
        <v>0</v>
      </c>
      <c r="I15" s="2">
        <v>0</v>
      </c>
      <c r="J15" s="2">
        <v>0</v>
      </c>
      <c r="K15" s="2">
        <v>0</v>
      </c>
      <c r="L15" s="2">
        <v>0</v>
      </c>
      <c r="M15" s="2">
        <v>0</v>
      </c>
      <c r="N15" s="2">
        <v>0</v>
      </c>
      <c r="O15" s="2">
        <v>0</v>
      </c>
      <c r="P15" s="2">
        <v>0</v>
      </c>
      <c r="Q15" s="2">
        <v>0</v>
      </c>
      <c r="R15" s="2">
        <f t="shared" si="1"/>
        <v>0</v>
      </c>
    </row>
    <row r="16" spans="1:18" hidden="1" outlineLevel="3" x14ac:dyDescent="0.25">
      <c r="A16" s="1"/>
      <c r="B16" s="1"/>
      <c r="C16" s="1"/>
      <c r="D16" s="1" t="s">
        <v>15</v>
      </c>
      <c r="E16" s="1"/>
      <c r="F16" s="2">
        <v>0</v>
      </c>
      <c r="G16" s="2">
        <v>0</v>
      </c>
      <c r="H16" s="2">
        <v>0</v>
      </c>
      <c r="I16" s="2">
        <v>0</v>
      </c>
      <c r="J16" s="2">
        <v>0</v>
      </c>
      <c r="K16" s="2">
        <v>0</v>
      </c>
      <c r="L16" s="2">
        <v>0</v>
      </c>
      <c r="M16" s="2">
        <v>0</v>
      </c>
      <c r="N16" s="2">
        <v>0</v>
      </c>
      <c r="O16" s="2">
        <v>0</v>
      </c>
      <c r="P16" s="2">
        <v>0</v>
      </c>
      <c r="Q16" s="2">
        <v>0</v>
      </c>
      <c r="R16" s="2">
        <f t="shared" si="1"/>
        <v>0</v>
      </c>
    </row>
    <row r="17" spans="1:18" hidden="1" outlineLevel="3" x14ac:dyDescent="0.25">
      <c r="A17" s="1"/>
      <c r="B17" s="1"/>
      <c r="C17" s="1"/>
      <c r="D17" s="1" t="s">
        <v>16</v>
      </c>
      <c r="E17" s="1"/>
      <c r="F17" s="2">
        <v>0</v>
      </c>
      <c r="G17" s="2">
        <v>0</v>
      </c>
      <c r="H17" s="2">
        <v>0</v>
      </c>
      <c r="I17" s="2">
        <v>0</v>
      </c>
      <c r="J17" s="2">
        <v>0</v>
      </c>
      <c r="K17" s="2">
        <v>0</v>
      </c>
      <c r="L17" s="2">
        <v>0</v>
      </c>
      <c r="M17" s="2">
        <v>0</v>
      </c>
      <c r="N17" s="2">
        <v>0</v>
      </c>
      <c r="O17" s="2">
        <v>0</v>
      </c>
      <c r="P17" s="2">
        <v>0</v>
      </c>
      <c r="Q17" s="2">
        <v>0</v>
      </c>
      <c r="R17" s="2">
        <f t="shared" si="1"/>
        <v>0</v>
      </c>
    </row>
    <row r="18" spans="1:18" hidden="1" outlineLevel="3" x14ac:dyDescent="0.25">
      <c r="A18" s="1"/>
      <c r="B18" s="1"/>
      <c r="C18" s="1"/>
      <c r="D18" s="1" t="s">
        <v>17</v>
      </c>
      <c r="E18" s="1"/>
      <c r="F18" s="2">
        <v>0</v>
      </c>
      <c r="G18" s="2">
        <v>0</v>
      </c>
      <c r="H18" s="2">
        <v>0</v>
      </c>
      <c r="I18" s="2">
        <v>0</v>
      </c>
      <c r="J18" s="2">
        <v>0</v>
      </c>
      <c r="K18" s="2">
        <v>0</v>
      </c>
      <c r="L18" s="2">
        <v>0</v>
      </c>
      <c r="M18" s="2">
        <v>0</v>
      </c>
      <c r="N18" s="2">
        <v>0</v>
      </c>
      <c r="O18" s="2">
        <v>0</v>
      </c>
      <c r="P18" s="2">
        <v>0</v>
      </c>
      <c r="Q18" s="2">
        <v>0</v>
      </c>
      <c r="R18" s="2">
        <f t="shared" si="1"/>
        <v>0</v>
      </c>
    </row>
    <row r="19" spans="1:18" hidden="1" outlineLevel="3" x14ac:dyDescent="0.25">
      <c r="A19" s="1"/>
      <c r="B19" s="1"/>
      <c r="C19" s="1"/>
      <c r="D19" s="1" t="s">
        <v>18</v>
      </c>
      <c r="E19" s="1"/>
      <c r="F19" s="2">
        <v>0</v>
      </c>
      <c r="G19" s="2">
        <v>0</v>
      </c>
      <c r="H19" s="2">
        <v>0</v>
      </c>
      <c r="I19" s="2">
        <v>0</v>
      </c>
      <c r="J19" s="2">
        <v>0</v>
      </c>
      <c r="K19" s="2">
        <v>0</v>
      </c>
      <c r="L19" s="2">
        <v>0</v>
      </c>
      <c r="M19" s="2">
        <v>0</v>
      </c>
      <c r="N19" s="2">
        <v>0</v>
      </c>
      <c r="O19" s="2">
        <v>0</v>
      </c>
      <c r="P19" s="2">
        <v>0</v>
      </c>
      <c r="Q19" s="2">
        <v>0</v>
      </c>
      <c r="R19" s="2">
        <f t="shared" si="1"/>
        <v>0</v>
      </c>
    </row>
    <row r="20" spans="1:18" hidden="1" outlineLevel="3" x14ac:dyDescent="0.25">
      <c r="A20" s="1"/>
      <c r="B20" s="1"/>
      <c r="C20" s="1"/>
      <c r="D20" s="1" t="s">
        <v>19</v>
      </c>
      <c r="E20" s="1"/>
      <c r="F20" s="2">
        <v>0</v>
      </c>
      <c r="G20" s="2">
        <v>0</v>
      </c>
      <c r="H20" s="2">
        <v>0</v>
      </c>
      <c r="I20" s="2">
        <v>0</v>
      </c>
      <c r="J20" s="2">
        <v>0</v>
      </c>
      <c r="K20" s="2">
        <v>0</v>
      </c>
      <c r="L20" s="2">
        <v>0</v>
      </c>
      <c r="M20" s="2">
        <v>0</v>
      </c>
      <c r="N20" s="2">
        <v>0</v>
      </c>
      <c r="O20" s="2">
        <v>0</v>
      </c>
      <c r="P20" s="2">
        <v>0</v>
      </c>
      <c r="Q20" s="2">
        <v>0</v>
      </c>
      <c r="R20" s="2">
        <f t="shared" si="1"/>
        <v>0</v>
      </c>
    </row>
    <row r="21" spans="1:18" ht="15.75" hidden="1" outlineLevel="3" thickBot="1" x14ac:dyDescent="0.3">
      <c r="A21" s="1"/>
      <c r="B21" s="1"/>
      <c r="C21" s="1"/>
      <c r="D21" s="1" t="s">
        <v>20</v>
      </c>
      <c r="E21" s="1"/>
      <c r="F21" s="3">
        <v>0</v>
      </c>
      <c r="G21" s="3">
        <v>0</v>
      </c>
      <c r="H21" s="3">
        <v>0</v>
      </c>
      <c r="I21" s="3">
        <v>0</v>
      </c>
      <c r="J21" s="3">
        <v>0</v>
      </c>
      <c r="K21" s="3">
        <v>0</v>
      </c>
      <c r="L21" s="3">
        <v>0</v>
      </c>
      <c r="M21" s="3">
        <v>0</v>
      </c>
      <c r="N21" s="3">
        <v>0</v>
      </c>
      <c r="O21" s="3">
        <v>0</v>
      </c>
      <c r="P21" s="3">
        <v>0</v>
      </c>
      <c r="Q21" s="3">
        <v>0</v>
      </c>
      <c r="R21" s="3">
        <f t="shared" si="1"/>
        <v>0</v>
      </c>
    </row>
    <row r="22" spans="1:18" outlineLevel="2" collapsed="1" x14ac:dyDescent="0.25">
      <c r="A22" s="1"/>
      <c r="B22" s="1"/>
      <c r="C22" s="1" t="s">
        <v>21</v>
      </c>
      <c r="D22" s="1"/>
      <c r="E22" s="1"/>
      <c r="F22" s="2">
        <f t="shared" ref="F22:Q22" si="2">ROUND(SUM(F3:F21),5)</f>
        <v>36927</v>
      </c>
      <c r="G22" s="2">
        <f t="shared" si="2"/>
        <v>36927</v>
      </c>
      <c r="H22" s="2">
        <f t="shared" si="2"/>
        <v>36927</v>
      </c>
      <c r="I22" s="2">
        <f t="shared" si="2"/>
        <v>36927</v>
      </c>
      <c r="J22" s="2">
        <f t="shared" si="2"/>
        <v>36927</v>
      </c>
      <c r="K22" s="2">
        <f t="shared" si="2"/>
        <v>36927</v>
      </c>
      <c r="L22" s="2">
        <f t="shared" si="2"/>
        <v>36927</v>
      </c>
      <c r="M22" s="2">
        <f t="shared" si="2"/>
        <v>36927</v>
      </c>
      <c r="N22" s="2">
        <f t="shared" si="2"/>
        <v>36927</v>
      </c>
      <c r="O22" s="2">
        <f t="shared" si="2"/>
        <v>36927</v>
      </c>
      <c r="P22" s="2">
        <f t="shared" si="2"/>
        <v>36927</v>
      </c>
      <c r="Q22" s="2">
        <f t="shared" si="2"/>
        <v>36927</v>
      </c>
      <c r="R22" s="2">
        <f t="shared" si="1"/>
        <v>443124</v>
      </c>
    </row>
    <row r="23" spans="1:18" outlineLevel="2" x14ac:dyDescent="0.25">
      <c r="A23" s="1"/>
      <c r="B23" s="1"/>
      <c r="C23" s="1" t="s">
        <v>22</v>
      </c>
      <c r="D23" s="1"/>
      <c r="E23" s="1"/>
      <c r="F23" s="2">
        <f>FEFP!C27*(575/12)</f>
        <v>2491.6666666666665</v>
      </c>
      <c r="G23" s="2">
        <f t="shared" ref="G23:Q23" si="3">+F23</f>
        <v>2491.6666666666665</v>
      </c>
      <c r="H23" s="2">
        <f t="shared" si="3"/>
        <v>2491.6666666666665</v>
      </c>
      <c r="I23" s="2">
        <f t="shared" si="3"/>
        <v>2491.6666666666665</v>
      </c>
      <c r="J23" s="2">
        <f t="shared" si="3"/>
        <v>2491.6666666666665</v>
      </c>
      <c r="K23" s="2">
        <f t="shared" si="3"/>
        <v>2491.6666666666665</v>
      </c>
      <c r="L23" s="2">
        <f t="shared" si="3"/>
        <v>2491.6666666666665</v>
      </c>
      <c r="M23" s="2">
        <f t="shared" si="3"/>
        <v>2491.6666666666665</v>
      </c>
      <c r="N23" s="2">
        <f t="shared" si="3"/>
        <v>2491.6666666666665</v>
      </c>
      <c r="O23" s="2">
        <f t="shared" si="3"/>
        <v>2491.6666666666665</v>
      </c>
      <c r="P23" s="2">
        <f t="shared" si="3"/>
        <v>2491.6666666666665</v>
      </c>
      <c r="Q23" s="2">
        <f t="shared" si="3"/>
        <v>2491.6666666666665</v>
      </c>
      <c r="R23" s="2">
        <f t="shared" si="1"/>
        <v>29900</v>
      </c>
    </row>
    <row r="24" spans="1:18" outlineLevel="3" x14ac:dyDescent="0.25">
      <c r="A24" s="1"/>
      <c r="B24" s="1"/>
      <c r="C24" s="1" t="s">
        <v>23</v>
      </c>
      <c r="D24" s="1"/>
      <c r="E24" s="1"/>
      <c r="F24" s="2"/>
      <c r="G24" s="2"/>
      <c r="H24" s="2"/>
      <c r="I24" s="2"/>
      <c r="J24" s="2"/>
      <c r="K24" s="2"/>
      <c r="L24" s="2"/>
      <c r="M24" s="2"/>
      <c r="N24" s="2"/>
      <c r="O24" s="2"/>
      <c r="P24" s="2"/>
      <c r="Q24" s="2"/>
      <c r="R24" s="2"/>
    </row>
    <row r="25" spans="1:18" outlineLevel="3" x14ac:dyDescent="0.25">
      <c r="A25" s="1"/>
      <c r="B25" s="1"/>
      <c r="C25" s="1"/>
      <c r="D25" s="1" t="s">
        <v>24</v>
      </c>
      <c r="E25" s="1"/>
      <c r="F25" s="2">
        <v>0</v>
      </c>
      <c r="G25" s="2">
        <v>5000</v>
      </c>
      <c r="H25" s="2">
        <f t="shared" ref="H25:P25" si="4">+G25</f>
        <v>5000</v>
      </c>
      <c r="I25" s="2">
        <f t="shared" si="4"/>
        <v>5000</v>
      </c>
      <c r="J25" s="2">
        <f t="shared" si="4"/>
        <v>5000</v>
      </c>
      <c r="K25" s="2">
        <f t="shared" si="4"/>
        <v>5000</v>
      </c>
      <c r="L25" s="2">
        <f t="shared" si="4"/>
        <v>5000</v>
      </c>
      <c r="M25" s="2">
        <f t="shared" si="4"/>
        <v>5000</v>
      </c>
      <c r="N25" s="2">
        <f t="shared" si="4"/>
        <v>5000</v>
      </c>
      <c r="O25" s="2">
        <f t="shared" si="4"/>
        <v>5000</v>
      </c>
      <c r="P25" s="2">
        <f t="shared" si="4"/>
        <v>5000</v>
      </c>
      <c r="Q25" s="2">
        <v>0</v>
      </c>
      <c r="R25" s="2">
        <f>ROUND(SUM(F25:Q25),5)</f>
        <v>50000</v>
      </c>
    </row>
    <row r="26" spans="1:18" ht="15.75" outlineLevel="3" thickBot="1" x14ac:dyDescent="0.3">
      <c r="A26" s="1"/>
      <c r="B26" s="1"/>
      <c r="C26" s="1"/>
      <c r="D26" s="1" t="s">
        <v>25</v>
      </c>
      <c r="E26" s="1"/>
      <c r="F26" s="3">
        <v>0</v>
      </c>
      <c r="G26" s="3">
        <v>1000</v>
      </c>
      <c r="H26" s="3">
        <f t="shared" ref="H26:P26" si="5">+G26</f>
        <v>1000</v>
      </c>
      <c r="I26" s="3">
        <f t="shared" si="5"/>
        <v>1000</v>
      </c>
      <c r="J26" s="3">
        <f t="shared" si="5"/>
        <v>1000</v>
      </c>
      <c r="K26" s="3">
        <f t="shared" si="5"/>
        <v>1000</v>
      </c>
      <c r="L26" s="3">
        <f t="shared" si="5"/>
        <v>1000</v>
      </c>
      <c r="M26" s="3">
        <f t="shared" si="5"/>
        <v>1000</v>
      </c>
      <c r="N26" s="3">
        <f t="shared" si="5"/>
        <v>1000</v>
      </c>
      <c r="O26" s="3">
        <f t="shared" si="5"/>
        <v>1000</v>
      </c>
      <c r="P26" s="3">
        <f t="shared" si="5"/>
        <v>1000</v>
      </c>
      <c r="Q26" s="3">
        <v>0</v>
      </c>
      <c r="R26" s="3">
        <f>ROUND(SUM(F26:Q26),5)</f>
        <v>10000</v>
      </c>
    </row>
    <row r="27" spans="1:18" outlineLevel="2" x14ac:dyDescent="0.25">
      <c r="A27" s="1"/>
      <c r="B27" s="1"/>
      <c r="C27" s="1" t="s">
        <v>26</v>
      </c>
      <c r="D27" s="1"/>
      <c r="E27" s="1"/>
      <c r="F27" s="2">
        <f t="shared" ref="F27:Q27" si="6">ROUND(SUM(F24:F26),5)</f>
        <v>0</v>
      </c>
      <c r="G27" s="2">
        <f t="shared" si="6"/>
        <v>6000</v>
      </c>
      <c r="H27" s="2">
        <f t="shared" si="6"/>
        <v>6000</v>
      </c>
      <c r="I27" s="2">
        <f t="shared" si="6"/>
        <v>6000</v>
      </c>
      <c r="J27" s="2">
        <f t="shared" si="6"/>
        <v>6000</v>
      </c>
      <c r="K27" s="2">
        <f t="shared" si="6"/>
        <v>6000</v>
      </c>
      <c r="L27" s="2">
        <f t="shared" si="6"/>
        <v>6000</v>
      </c>
      <c r="M27" s="2">
        <f t="shared" si="6"/>
        <v>6000</v>
      </c>
      <c r="N27" s="2">
        <f t="shared" si="6"/>
        <v>6000</v>
      </c>
      <c r="O27" s="2">
        <f t="shared" si="6"/>
        <v>6000</v>
      </c>
      <c r="P27" s="2">
        <f t="shared" si="6"/>
        <v>6000</v>
      </c>
      <c r="Q27" s="2">
        <f t="shared" si="6"/>
        <v>0</v>
      </c>
      <c r="R27" s="2">
        <f>ROUND(SUM(F27:Q27),5)</f>
        <v>60000</v>
      </c>
    </row>
    <row r="28" spans="1:18" outlineLevel="3" x14ac:dyDescent="0.25">
      <c r="A28" s="1"/>
      <c r="B28" s="1"/>
      <c r="C28" s="1" t="s">
        <v>27</v>
      </c>
      <c r="D28" s="1"/>
      <c r="E28" s="1"/>
      <c r="F28" s="2"/>
      <c r="G28" s="2"/>
      <c r="H28" s="2"/>
      <c r="I28" s="2"/>
      <c r="J28" s="2"/>
      <c r="K28" s="2"/>
      <c r="L28" s="2"/>
      <c r="M28" s="2"/>
      <c r="N28" s="2"/>
      <c r="O28" s="2"/>
      <c r="P28" s="2"/>
      <c r="Q28" s="2"/>
      <c r="R28" s="2"/>
    </row>
    <row r="29" spans="1:18" outlineLevel="3" x14ac:dyDescent="0.25">
      <c r="A29" s="1"/>
      <c r="B29" s="1"/>
      <c r="C29" s="1"/>
      <c r="D29" s="184" t="s">
        <v>28</v>
      </c>
      <c r="E29" s="184"/>
      <c r="F29" s="185">
        <v>70000</v>
      </c>
      <c r="G29" s="185">
        <v>1360</v>
      </c>
      <c r="H29" s="185">
        <v>48000</v>
      </c>
      <c r="I29" s="185">
        <v>30000</v>
      </c>
      <c r="J29" s="185">
        <v>56000</v>
      </c>
      <c r="K29" s="185">
        <v>0</v>
      </c>
      <c r="L29" s="185">
        <v>0</v>
      </c>
      <c r="M29" s="185">
        <v>0</v>
      </c>
      <c r="N29" s="185">
        <v>0</v>
      </c>
      <c r="O29" s="185">
        <v>0</v>
      </c>
      <c r="P29" s="185">
        <v>0</v>
      </c>
      <c r="Q29" s="185">
        <v>0</v>
      </c>
      <c r="R29" s="185">
        <f>ROUND(SUM(F29:Q29),5)</f>
        <v>205360</v>
      </c>
    </row>
    <row r="30" spans="1:18" outlineLevel="3" x14ac:dyDescent="0.25">
      <c r="A30" s="1"/>
      <c r="B30" s="1"/>
      <c r="C30" s="1"/>
      <c r="D30" s="1" t="s">
        <v>29</v>
      </c>
      <c r="E30" s="1"/>
      <c r="F30" s="2">
        <v>6</v>
      </c>
      <c r="G30" s="2">
        <f t="shared" ref="G30:Q30" si="7">+F30</f>
        <v>6</v>
      </c>
      <c r="H30" s="2">
        <f t="shared" si="7"/>
        <v>6</v>
      </c>
      <c r="I30" s="2">
        <f t="shared" si="7"/>
        <v>6</v>
      </c>
      <c r="J30" s="2">
        <f t="shared" si="7"/>
        <v>6</v>
      </c>
      <c r="K30" s="2">
        <f t="shared" si="7"/>
        <v>6</v>
      </c>
      <c r="L30" s="2">
        <f t="shared" si="7"/>
        <v>6</v>
      </c>
      <c r="M30" s="2">
        <f t="shared" si="7"/>
        <v>6</v>
      </c>
      <c r="N30" s="2">
        <f t="shared" si="7"/>
        <v>6</v>
      </c>
      <c r="O30" s="2">
        <f t="shared" si="7"/>
        <v>6</v>
      </c>
      <c r="P30" s="2">
        <f t="shared" si="7"/>
        <v>6</v>
      </c>
      <c r="Q30" s="2">
        <f t="shared" si="7"/>
        <v>6</v>
      </c>
      <c r="R30" s="2">
        <f>ROUND(SUM(F30:Q30),5)</f>
        <v>72</v>
      </c>
    </row>
    <row r="31" spans="1:18" ht="15.75" outlineLevel="3" thickBot="1" x14ac:dyDescent="0.3">
      <c r="A31" s="1"/>
      <c r="B31" s="1"/>
      <c r="C31" s="1"/>
      <c r="D31" s="1" t="s">
        <v>30</v>
      </c>
      <c r="E31" s="1"/>
      <c r="F31" s="3">
        <v>0</v>
      </c>
      <c r="G31" s="3">
        <v>0</v>
      </c>
      <c r="H31" s="3">
        <v>0</v>
      </c>
      <c r="I31" s="3">
        <v>0</v>
      </c>
      <c r="J31" s="3">
        <v>0</v>
      </c>
      <c r="K31" s="3">
        <v>0</v>
      </c>
      <c r="L31" s="3">
        <v>0</v>
      </c>
      <c r="M31" s="3">
        <v>0</v>
      </c>
      <c r="N31" s="3">
        <v>0</v>
      </c>
      <c r="O31" s="3">
        <v>0</v>
      </c>
      <c r="P31" s="3">
        <v>0</v>
      </c>
      <c r="Q31" s="3">
        <v>0</v>
      </c>
      <c r="R31" s="3">
        <f>ROUND(SUM(F31:Q31),5)</f>
        <v>0</v>
      </c>
    </row>
    <row r="32" spans="1:18" outlineLevel="2" x14ac:dyDescent="0.25">
      <c r="A32" s="1"/>
      <c r="B32" s="1"/>
      <c r="C32" s="1" t="s">
        <v>31</v>
      </c>
      <c r="D32" s="1"/>
      <c r="E32" s="1"/>
      <c r="F32" s="2">
        <f t="shared" ref="F32:Q32" si="8">ROUND(SUM(F28:F31),5)</f>
        <v>70006</v>
      </c>
      <c r="G32" s="2">
        <f t="shared" si="8"/>
        <v>1366</v>
      </c>
      <c r="H32" s="2">
        <f t="shared" si="8"/>
        <v>48006</v>
      </c>
      <c r="I32" s="2">
        <f t="shared" si="8"/>
        <v>30006</v>
      </c>
      <c r="J32" s="2">
        <f t="shared" si="8"/>
        <v>56006</v>
      </c>
      <c r="K32" s="2">
        <f t="shared" si="8"/>
        <v>6</v>
      </c>
      <c r="L32" s="2">
        <f t="shared" si="8"/>
        <v>6</v>
      </c>
      <c r="M32" s="2">
        <f t="shared" si="8"/>
        <v>6</v>
      </c>
      <c r="N32" s="2">
        <f t="shared" si="8"/>
        <v>6</v>
      </c>
      <c r="O32" s="2">
        <f t="shared" si="8"/>
        <v>6</v>
      </c>
      <c r="P32" s="2">
        <f t="shared" si="8"/>
        <v>6</v>
      </c>
      <c r="Q32" s="2">
        <f t="shared" si="8"/>
        <v>6</v>
      </c>
      <c r="R32" s="2">
        <f>ROUND(SUM(F32:Q32),5)</f>
        <v>205432</v>
      </c>
    </row>
    <row r="33" spans="1:18" outlineLevel="3" x14ac:dyDescent="0.25">
      <c r="A33" s="1"/>
      <c r="B33" s="1"/>
      <c r="C33" s="1" t="s">
        <v>32</v>
      </c>
      <c r="D33" s="1"/>
      <c r="E33" s="1"/>
      <c r="F33" s="2"/>
      <c r="G33" s="2"/>
      <c r="H33" s="2"/>
      <c r="I33" s="2"/>
      <c r="J33" s="2"/>
      <c r="K33" s="2"/>
      <c r="L33" s="2"/>
      <c r="M33" s="2"/>
      <c r="N33" s="2"/>
      <c r="O33" s="2"/>
      <c r="P33" s="2"/>
      <c r="Q33" s="2"/>
      <c r="R33" s="2"/>
    </row>
    <row r="34" spans="1:18" outlineLevel="3" x14ac:dyDescent="0.25">
      <c r="A34" s="1"/>
      <c r="B34" s="1"/>
      <c r="C34" s="1"/>
      <c r="D34" s="99" t="s">
        <v>33</v>
      </c>
      <c r="E34" s="99"/>
      <c r="F34" s="101">
        <v>0</v>
      </c>
      <c r="G34" s="101">
        <v>0</v>
      </c>
      <c r="H34" s="101">
        <v>0</v>
      </c>
      <c r="I34" s="101">
        <f t="shared" ref="I34:P34" si="9">+H34</f>
        <v>0</v>
      </c>
      <c r="J34" s="101">
        <f>58815/8</f>
        <v>7351.875</v>
      </c>
      <c r="K34" s="101">
        <f t="shared" si="9"/>
        <v>7351.875</v>
      </c>
      <c r="L34" s="101">
        <f t="shared" si="9"/>
        <v>7351.875</v>
      </c>
      <c r="M34" s="101">
        <f t="shared" si="9"/>
        <v>7351.875</v>
      </c>
      <c r="N34" s="101">
        <f t="shared" si="9"/>
        <v>7351.875</v>
      </c>
      <c r="O34" s="101">
        <f t="shared" si="9"/>
        <v>7351.875</v>
      </c>
      <c r="P34" s="101">
        <f t="shared" si="9"/>
        <v>7351.875</v>
      </c>
      <c r="Q34" s="101">
        <f>P34</f>
        <v>7351.875</v>
      </c>
      <c r="R34" s="101">
        <f t="shared" ref="R34:R39" si="10">ROUND(SUM(F34:Q34),5)</f>
        <v>58815</v>
      </c>
    </row>
    <row r="35" spans="1:18" outlineLevel="3" x14ac:dyDescent="0.25">
      <c r="A35" s="1"/>
      <c r="B35" s="1"/>
      <c r="C35" s="1"/>
      <c r="D35" s="99" t="s">
        <v>248</v>
      </c>
      <c r="E35" s="99"/>
      <c r="F35" s="101">
        <v>0</v>
      </c>
      <c r="G35" s="101">
        <v>0</v>
      </c>
      <c r="H35" s="101">
        <f t="shared" ref="H35:P35" si="11">+G35</f>
        <v>0</v>
      </c>
      <c r="I35" s="101">
        <f t="shared" si="11"/>
        <v>0</v>
      </c>
      <c r="J35" s="101">
        <f>152678.37/8</f>
        <v>19084.796249999999</v>
      </c>
      <c r="K35" s="101">
        <f t="shared" si="11"/>
        <v>19084.796249999999</v>
      </c>
      <c r="L35" s="101">
        <f t="shared" si="11"/>
        <v>19084.796249999999</v>
      </c>
      <c r="M35" s="101">
        <f t="shared" si="11"/>
        <v>19084.796249999999</v>
      </c>
      <c r="N35" s="101">
        <f t="shared" si="11"/>
        <v>19084.796249999999</v>
      </c>
      <c r="O35" s="101">
        <f t="shared" si="11"/>
        <v>19084.796249999999</v>
      </c>
      <c r="P35" s="101">
        <f t="shared" si="11"/>
        <v>19084.796249999999</v>
      </c>
      <c r="Q35" s="101">
        <f>P35</f>
        <v>19084.796249999999</v>
      </c>
      <c r="R35" s="101">
        <f t="shared" si="10"/>
        <v>152678.37</v>
      </c>
    </row>
    <row r="36" spans="1:18" outlineLevel="3" x14ac:dyDescent="0.25">
      <c r="A36" s="1"/>
      <c r="B36" s="1"/>
      <c r="C36" s="1"/>
      <c r="D36" s="1" t="s">
        <v>247</v>
      </c>
      <c r="E36" s="1"/>
      <c r="F36" s="2">
        <v>0</v>
      </c>
      <c r="G36" s="2">
        <v>0</v>
      </c>
      <c r="H36" s="2">
        <v>0</v>
      </c>
      <c r="I36" s="2">
        <v>0</v>
      </c>
      <c r="J36" s="2">
        <v>0</v>
      </c>
      <c r="K36" s="2">
        <v>0</v>
      </c>
      <c r="L36" s="2">
        <v>0</v>
      </c>
      <c r="M36" s="2">
        <v>0</v>
      </c>
      <c r="N36" s="2">
        <v>0</v>
      </c>
      <c r="O36" s="2">
        <v>0</v>
      </c>
      <c r="P36" s="2">
        <v>0</v>
      </c>
      <c r="Q36" s="2">
        <v>0</v>
      </c>
      <c r="R36" s="2">
        <f t="shared" si="10"/>
        <v>0</v>
      </c>
    </row>
    <row r="37" spans="1:18" ht="15.75" outlineLevel="3" thickBot="1" x14ac:dyDescent="0.3">
      <c r="A37" s="1"/>
      <c r="B37" s="1"/>
      <c r="C37" s="1"/>
      <c r="D37" s="1" t="s">
        <v>34</v>
      </c>
      <c r="E37" s="1"/>
      <c r="F37" s="4">
        <v>0</v>
      </c>
      <c r="G37" s="4">
        <v>0</v>
      </c>
      <c r="H37" s="4">
        <f t="shared" ref="H37:P37" si="12">+G37</f>
        <v>0</v>
      </c>
      <c r="I37" s="4">
        <f t="shared" si="12"/>
        <v>0</v>
      </c>
      <c r="J37" s="4">
        <f>8000/8</f>
        <v>1000</v>
      </c>
      <c r="K37" s="4">
        <f t="shared" si="12"/>
        <v>1000</v>
      </c>
      <c r="L37" s="4">
        <f t="shared" si="12"/>
        <v>1000</v>
      </c>
      <c r="M37" s="4">
        <f t="shared" si="12"/>
        <v>1000</v>
      </c>
      <c r="N37" s="4">
        <f t="shared" si="12"/>
        <v>1000</v>
      </c>
      <c r="O37" s="4">
        <f t="shared" si="12"/>
        <v>1000</v>
      </c>
      <c r="P37" s="4">
        <f t="shared" si="12"/>
        <v>1000</v>
      </c>
      <c r="Q37" s="4">
        <f>P37</f>
        <v>1000</v>
      </c>
      <c r="R37" s="4">
        <f t="shared" si="10"/>
        <v>8000</v>
      </c>
    </row>
    <row r="38" spans="1:18" ht="15.75" outlineLevel="2" thickBot="1" x14ac:dyDescent="0.3">
      <c r="A38" s="1"/>
      <c r="B38" s="1"/>
      <c r="C38" s="1" t="s">
        <v>35</v>
      </c>
      <c r="D38" s="1"/>
      <c r="E38" s="1"/>
      <c r="F38" s="5">
        <f t="shared" ref="F38:Q38" si="13">ROUND(SUM(F33:F37),5)</f>
        <v>0</v>
      </c>
      <c r="G38" s="5">
        <f t="shared" si="13"/>
        <v>0</v>
      </c>
      <c r="H38" s="5">
        <f t="shared" si="13"/>
        <v>0</v>
      </c>
      <c r="I38" s="5">
        <f t="shared" si="13"/>
        <v>0</v>
      </c>
      <c r="J38" s="5">
        <f t="shared" si="13"/>
        <v>27436.671249999999</v>
      </c>
      <c r="K38" s="5">
        <f t="shared" si="13"/>
        <v>27436.671249999999</v>
      </c>
      <c r="L38" s="5">
        <f t="shared" si="13"/>
        <v>27436.671249999999</v>
      </c>
      <c r="M38" s="5">
        <f t="shared" si="13"/>
        <v>27436.671249999999</v>
      </c>
      <c r="N38" s="5">
        <f t="shared" si="13"/>
        <v>27436.671249999999</v>
      </c>
      <c r="O38" s="5">
        <f t="shared" si="13"/>
        <v>27436.671249999999</v>
      </c>
      <c r="P38" s="5">
        <f t="shared" si="13"/>
        <v>27436.671249999999</v>
      </c>
      <c r="Q38" s="5">
        <f t="shared" si="13"/>
        <v>27436.671249999999</v>
      </c>
      <c r="R38" s="5">
        <f t="shared" si="10"/>
        <v>219493.37</v>
      </c>
    </row>
    <row r="39" spans="1:18" outlineLevel="1" x14ac:dyDescent="0.25">
      <c r="A39" s="1"/>
      <c r="B39" s="1" t="s">
        <v>36</v>
      </c>
      <c r="C39" s="1"/>
      <c r="D39" s="1"/>
      <c r="E39" s="1"/>
      <c r="F39" s="2">
        <f t="shared" ref="F39:Q39" si="14">ROUND(F2+SUM(F22:F23)+F27+F32+F38,5)</f>
        <v>109424.66667000001</v>
      </c>
      <c r="G39" s="2">
        <f t="shared" si="14"/>
        <v>46784.666669999999</v>
      </c>
      <c r="H39" s="2">
        <f t="shared" si="14"/>
        <v>93424.666670000006</v>
      </c>
      <c r="I39" s="2">
        <f t="shared" si="14"/>
        <v>75424.666670000006</v>
      </c>
      <c r="J39" s="2">
        <f t="shared" si="14"/>
        <v>128861.33792000001</v>
      </c>
      <c r="K39" s="2">
        <f t="shared" si="14"/>
        <v>72861.337920000005</v>
      </c>
      <c r="L39" s="2">
        <f t="shared" si="14"/>
        <v>72861.337920000005</v>
      </c>
      <c r="M39" s="2">
        <f t="shared" si="14"/>
        <v>72861.337920000005</v>
      </c>
      <c r="N39" s="2">
        <f t="shared" si="14"/>
        <v>72861.337920000005</v>
      </c>
      <c r="O39" s="2">
        <f t="shared" si="14"/>
        <v>72861.337920000005</v>
      </c>
      <c r="P39" s="2">
        <f t="shared" si="14"/>
        <v>72861.337920000005</v>
      </c>
      <c r="Q39" s="2">
        <f t="shared" si="14"/>
        <v>66861.337920000005</v>
      </c>
      <c r="R39" s="2">
        <f t="shared" si="10"/>
        <v>957949.37003999995</v>
      </c>
    </row>
    <row r="40" spans="1:18" outlineLevel="2" x14ac:dyDescent="0.25">
      <c r="A40" s="1"/>
      <c r="B40" s="1" t="s">
        <v>37</v>
      </c>
      <c r="C40" s="1"/>
      <c r="D40" s="1"/>
      <c r="E40" s="1"/>
      <c r="F40" s="2"/>
      <c r="G40" s="2"/>
      <c r="H40" s="2"/>
      <c r="I40" s="2"/>
      <c r="J40" s="2"/>
      <c r="K40" s="2"/>
      <c r="L40" s="2"/>
      <c r="M40" s="2"/>
      <c r="N40" s="2"/>
      <c r="O40" s="2"/>
      <c r="P40" s="2"/>
      <c r="Q40" s="2"/>
      <c r="R40" s="2"/>
    </row>
    <row r="41" spans="1:18" outlineLevel="3" x14ac:dyDescent="0.25">
      <c r="A41" s="1"/>
      <c r="B41" s="1"/>
      <c r="C41" s="1" t="s">
        <v>38</v>
      </c>
      <c r="D41" s="1"/>
      <c r="E41" s="1"/>
      <c r="F41" s="2"/>
      <c r="G41" s="2"/>
      <c r="H41" s="2"/>
      <c r="I41" s="2"/>
      <c r="J41" s="2"/>
      <c r="K41" s="2"/>
      <c r="L41" s="2"/>
      <c r="M41" s="2"/>
      <c r="N41" s="2"/>
      <c r="O41" s="2"/>
      <c r="P41" s="2"/>
      <c r="Q41" s="2"/>
      <c r="R41" s="2"/>
    </row>
    <row r="42" spans="1:18" outlineLevel="4" x14ac:dyDescent="0.25">
      <c r="A42" s="1"/>
      <c r="B42" s="1"/>
      <c r="C42" s="1"/>
      <c r="D42" s="1" t="s">
        <v>39</v>
      </c>
      <c r="E42" s="1"/>
      <c r="F42" s="2"/>
      <c r="G42" s="2"/>
      <c r="H42" s="2"/>
      <c r="I42" s="2"/>
      <c r="J42" s="2"/>
      <c r="K42" s="2"/>
      <c r="L42" s="2"/>
      <c r="M42" s="2"/>
      <c r="N42" s="2"/>
      <c r="O42" s="2"/>
      <c r="P42" s="2"/>
      <c r="Q42" s="2"/>
      <c r="R42" s="2"/>
    </row>
    <row r="43" spans="1:18" outlineLevel="4" x14ac:dyDescent="0.25">
      <c r="A43" s="1"/>
      <c r="B43" s="1"/>
      <c r="C43" s="1"/>
      <c r="D43" s="1"/>
      <c r="E43" s="1" t="s">
        <v>40</v>
      </c>
      <c r="F43" s="2">
        <f>(Salaries!C11-Salaries!C10)/12</f>
        <v>24670.833333333332</v>
      </c>
      <c r="G43" s="2">
        <f t="shared" ref="G43:Q43" si="15">F43</f>
        <v>24670.833333333332</v>
      </c>
      <c r="H43" s="2">
        <f t="shared" si="15"/>
        <v>24670.833333333332</v>
      </c>
      <c r="I43" s="2">
        <f t="shared" si="15"/>
        <v>24670.833333333332</v>
      </c>
      <c r="J43" s="2">
        <f t="shared" si="15"/>
        <v>24670.833333333332</v>
      </c>
      <c r="K43" s="2">
        <f t="shared" si="15"/>
        <v>24670.833333333332</v>
      </c>
      <c r="L43" s="2">
        <f t="shared" si="15"/>
        <v>24670.833333333332</v>
      </c>
      <c r="M43" s="2">
        <f t="shared" si="15"/>
        <v>24670.833333333332</v>
      </c>
      <c r="N43" s="2">
        <f t="shared" si="15"/>
        <v>24670.833333333332</v>
      </c>
      <c r="O43" s="2">
        <f t="shared" si="15"/>
        <v>24670.833333333332</v>
      </c>
      <c r="P43" s="2">
        <f t="shared" si="15"/>
        <v>24670.833333333332</v>
      </c>
      <c r="Q43" s="2">
        <f t="shared" si="15"/>
        <v>24670.833333333332</v>
      </c>
      <c r="R43" s="2">
        <f t="shared" ref="R43:R51" si="16">ROUND(SUM(F43:Q43),5)</f>
        <v>296050</v>
      </c>
    </row>
    <row r="44" spans="1:18" outlineLevel="4" x14ac:dyDescent="0.25">
      <c r="A44" s="1"/>
      <c r="B44" s="1"/>
      <c r="C44" s="1"/>
      <c r="D44" s="1"/>
      <c r="E44" s="1" t="s">
        <v>41</v>
      </c>
      <c r="F44" s="2">
        <v>0</v>
      </c>
      <c r="G44" s="2">
        <f>Salaries!C20/11</f>
        <v>16254.545454545454</v>
      </c>
      <c r="H44" s="2">
        <f t="shared" ref="H44:Q44" si="17">G44</f>
        <v>16254.545454545454</v>
      </c>
      <c r="I44" s="2">
        <f t="shared" si="17"/>
        <v>16254.545454545454</v>
      </c>
      <c r="J44" s="2">
        <f t="shared" si="17"/>
        <v>16254.545454545454</v>
      </c>
      <c r="K44" s="2">
        <f t="shared" si="17"/>
        <v>16254.545454545454</v>
      </c>
      <c r="L44" s="2">
        <f t="shared" si="17"/>
        <v>16254.545454545454</v>
      </c>
      <c r="M44" s="2">
        <f t="shared" si="17"/>
        <v>16254.545454545454</v>
      </c>
      <c r="N44" s="2">
        <f t="shared" si="17"/>
        <v>16254.545454545454</v>
      </c>
      <c r="O44" s="2">
        <f t="shared" si="17"/>
        <v>16254.545454545454</v>
      </c>
      <c r="P44" s="2">
        <f t="shared" si="17"/>
        <v>16254.545454545454</v>
      </c>
      <c r="Q44" s="2">
        <f t="shared" si="17"/>
        <v>16254.545454545454</v>
      </c>
      <c r="R44" s="2">
        <f t="shared" si="16"/>
        <v>178800</v>
      </c>
    </row>
    <row r="45" spans="1:18" outlineLevel="4" x14ac:dyDescent="0.25">
      <c r="A45" s="1"/>
      <c r="B45" s="1"/>
      <c r="C45" s="1"/>
      <c r="D45" s="1"/>
      <c r="E45" s="1" t="s">
        <v>42</v>
      </c>
      <c r="F45" s="2">
        <f>(+F43+F44)*0.0765</f>
        <v>1887.3187499999999</v>
      </c>
      <c r="G45" s="2">
        <f t="shared" ref="G45:Q45" si="18">(+G43+G44)*0.0765</f>
        <v>3130.7914772727268</v>
      </c>
      <c r="H45" s="2">
        <f t="shared" si="18"/>
        <v>3130.7914772727268</v>
      </c>
      <c r="I45" s="2">
        <f t="shared" si="18"/>
        <v>3130.7914772727268</v>
      </c>
      <c r="J45" s="2">
        <f t="shared" si="18"/>
        <v>3130.7914772727268</v>
      </c>
      <c r="K45" s="2">
        <f t="shared" si="18"/>
        <v>3130.7914772727268</v>
      </c>
      <c r="L45" s="2">
        <f t="shared" si="18"/>
        <v>3130.7914772727268</v>
      </c>
      <c r="M45" s="2">
        <f t="shared" si="18"/>
        <v>3130.7914772727268</v>
      </c>
      <c r="N45" s="2">
        <f t="shared" si="18"/>
        <v>3130.7914772727268</v>
      </c>
      <c r="O45" s="2">
        <f t="shared" si="18"/>
        <v>3130.7914772727268</v>
      </c>
      <c r="P45" s="2">
        <f t="shared" si="18"/>
        <v>3130.7914772727268</v>
      </c>
      <c r="Q45" s="2">
        <f t="shared" si="18"/>
        <v>3130.7914772727268</v>
      </c>
      <c r="R45" s="2">
        <f t="shared" si="16"/>
        <v>36326.025000000001</v>
      </c>
    </row>
    <row r="46" spans="1:18" outlineLevel="4" x14ac:dyDescent="0.25">
      <c r="A46" s="1"/>
      <c r="B46" s="1"/>
      <c r="C46" s="1"/>
      <c r="D46" s="1"/>
      <c r="E46" s="1" t="s">
        <v>43</v>
      </c>
      <c r="F46" s="2">
        <v>3000</v>
      </c>
      <c r="G46" s="2">
        <f t="shared" ref="G46:Q46" si="19">F46</f>
        <v>3000</v>
      </c>
      <c r="H46" s="2">
        <f t="shared" si="19"/>
        <v>3000</v>
      </c>
      <c r="I46" s="2">
        <f t="shared" si="19"/>
        <v>3000</v>
      </c>
      <c r="J46" s="2">
        <f t="shared" si="19"/>
        <v>3000</v>
      </c>
      <c r="K46" s="2">
        <f t="shared" si="19"/>
        <v>3000</v>
      </c>
      <c r="L46" s="2">
        <f t="shared" si="19"/>
        <v>3000</v>
      </c>
      <c r="M46" s="2">
        <f t="shared" si="19"/>
        <v>3000</v>
      </c>
      <c r="N46" s="2">
        <f t="shared" si="19"/>
        <v>3000</v>
      </c>
      <c r="O46" s="2">
        <f t="shared" si="19"/>
        <v>3000</v>
      </c>
      <c r="P46" s="2">
        <f t="shared" si="19"/>
        <v>3000</v>
      </c>
      <c r="Q46" s="2">
        <f t="shared" si="19"/>
        <v>3000</v>
      </c>
      <c r="R46" s="2">
        <f t="shared" si="16"/>
        <v>36000</v>
      </c>
    </row>
    <row r="47" spans="1:18" outlineLevel="4" x14ac:dyDescent="0.25">
      <c r="A47" s="1"/>
      <c r="B47" s="1"/>
      <c r="C47" s="1"/>
      <c r="D47" s="1"/>
      <c r="E47" s="1" t="s">
        <v>44</v>
      </c>
      <c r="F47" s="2">
        <f>14*378/12</f>
        <v>441</v>
      </c>
      <c r="G47" s="2">
        <f t="shared" ref="G47:Q47" si="20">14*378/12</f>
        <v>441</v>
      </c>
      <c r="H47" s="2">
        <f t="shared" si="20"/>
        <v>441</v>
      </c>
      <c r="I47" s="2">
        <f t="shared" si="20"/>
        <v>441</v>
      </c>
      <c r="J47" s="2">
        <f t="shared" si="20"/>
        <v>441</v>
      </c>
      <c r="K47" s="2">
        <f t="shared" si="20"/>
        <v>441</v>
      </c>
      <c r="L47" s="2">
        <f t="shared" si="20"/>
        <v>441</v>
      </c>
      <c r="M47" s="2">
        <f t="shared" si="20"/>
        <v>441</v>
      </c>
      <c r="N47" s="2">
        <f t="shared" si="20"/>
        <v>441</v>
      </c>
      <c r="O47" s="2">
        <f t="shared" si="20"/>
        <v>441</v>
      </c>
      <c r="P47" s="2">
        <f t="shared" si="20"/>
        <v>441</v>
      </c>
      <c r="Q47" s="2">
        <f t="shared" si="20"/>
        <v>441</v>
      </c>
      <c r="R47" s="2">
        <f t="shared" si="16"/>
        <v>5292</v>
      </c>
    </row>
    <row r="48" spans="1:18" outlineLevel="4" x14ac:dyDescent="0.25">
      <c r="A48" s="1"/>
      <c r="B48" s="1"/>
      <c r="C48" s="1"/>
      <c r="D48" s="1"/>
      <c r="E48" s="1" t="s">
        <v>45</v>
      </c>
      <c r="F48" s="2">
        <v>0</v>
      </c>
      <c r="G48" s="2">
        <v>3500</v>
      </c>
      <c r="H48" s="2">
        <f t="shared" ref="H48:P48" si="21">G48</f>
        <v>3500</v>
      </c>
      <c r="I48" s="2">
        <f t="shared" si="21"/>
        <v>3500</v>
      </c>
      <c r="J48" s="2">
        <f t="shared" si="21"/>
        <v>3500</v>
      </c>
      <c r="K48" s="2">
        <f t="shared" si="21"/>
        <v>3500</v>
      </c>
      <c r="L48" s="2">
        <f t="shared" si="21"/>
        <v>3500</v>
      </c>
      <c r="M48" s="2">
        <f t="shared" si="21"/>
        <v>3500</v>
      </c>
      <c r="N48" s="2">
        <f t="shared" si="21"/>
        <v>3500</v>
      </c>
      <c r="O48" s="2">
        <f t="shared" si="21"/>
        <v>3500</v>
      </c>
      <c r="P48" s="2">
        <f t="shared" si="21"/>
        <v>3500</v>
      </c>
      <c r="Q48" s="2">
        <v>0</v>
      </c>
      <c r="R48" s="2">
        <f t="shared" si="16"/>
        <v>35000</v>
      </c>
    </row>
    <row r="49" spans="1:18" outlineLevel="4" x14ac:dyDescent="0.25">
      <c r="A49" s="1"/>
      <c r="B49" s="1"/>
      <c r="C49" s="1"/>
      <c r="D49" s="1"/>
      <c r="E49" s="1" t="s">
        <v>280</v>
      </c>
      <c r="F49" s="2">
        <v>0</v>
      </c>
      <c r="G49" s="2">
        <v>4285</v>
      </c>
      <c r="H49" s="2">
        <v>0</v>
      </c>
      <c r="I49" s="2">
        <f t="shared" ref="I49" si="22">H49</f>
        <v>0</v>
      </c>
      <c r="J49" s="2">
        <f t="shared" ref="J49" si="23">I49</f>
        <v>0</v>
      </c>
      <c r="K49" s="2">
        <f t="shared" ref="K49" si="24">J49</f>
        <v>0</v>
      </c>
      <c r="L49" s="2">
        <f t="shared" ref="L49" si="25">K49</f>
        <v>0</v>
      </c>
      <c r="M49" s="2">
        <f t="shared" ref="M49" si="26">L49</f>
        <v>0</v>
      </c>
      <c r="N49" s="2">
        <f t="shared" ref="N49" si="27">M49</f>
        <v>0</v>
      </c>
      <c r="O49" s="2">
        <f t="shared" ref="O49" si="28">N49</f>
        <v>0</v>
      </c>
      <c r="P49" s="2">
        <f t="shared" ref="P49" si="29">O49</f>
        <v>0</v>
      </c>
      <c r="Q49" s="2">
        <v>0</v>
      </c>
      <c r="R49" s="2">
        <f t="shared" ref="R49" si="30">ROUND(SUM(F49:Q49),5)</f>
        <v>4285</v>
      </c>
    </row>
    <row r="50" spans="1:18" ht="15.75" outlineLevel="4" thickBot="1" x14ac:dyDescent="0.3">
      <c r="A50" s="1"/>
      <c r="B50" s="1"/>
      <c r="C50" s="1"/>
      <c r="D50" s="1"/>
      <c r="E50" s="1" t="s">
        <v>46</v>
      </c>
      <c r="F50" s="3">
        <v>1000</v>
      </c>
      <c r="G50" s="3">
        <v>750</v>
      </c>
      <c r="H50" s="3">
        <v>750</v>
      </c>
      <c r="I50" s="3">
        <v>176</v>
      </c>
      <c r="J50" s="3">
        <v>500</v>
      </c>
      <c r="K50" s="3">
        <f>J50</f>
        <v>500</v>
      </c>
      <c r="L50" s="3">
        <f>K50</f>
        <v>500</v>
      </c>
      <c r="M50" s="3">
        <f>L50</f>
        <v>500</v>
      </c>
      <c r="N50" s="3">
        <f>M50</f>
        <v>500</v>
      </c>
      <c r="O50" s="3">
        <f>N50</f>
        <v>500</v>
      </c>
      <c r="P50" s="3">
        <f>O50</f>
        <v>500</v>
      </c>
      <c r="Q50" s="3">
        <f>P50</f>
        <v>500</v>
      </c>
      <c r="R50" s="3">
        <f t="shared" si="16"/>
        <v>6676</v>
      </c>
    </row>
    <row r="51" spans="1:18" outlineLevel="3" x14ac:dyDescent="0.25">
      <c r="A51" s="1"/>
      <c r="B51" s="1"/>
      <c r="C51" s="1"/>
      <c r="D51" s="1" t="s">
        <v>47</v>
      </c>
      <c r="E51" s="1"/>
      <c r="F51" s="2">
        <f t="shared" ref="F51:Q51" si="31">ROUND(SUM(F42:F50),5)</f>
        <v>30999.15208</v>
      </c>
      <c r="G51" s="2">
        <f t="shared" si="31"/>
        <v>56032.170270000002</v>
      </c>
      <c r="H51" s="2">
        <f t="shared" si="31"/>
        <v>51747.170270000002</v>
      </c>
      <c r="I51" s="2">
        <f t="shared" si="31"/>
        <v>51173.170270000002</v>
      </c>
      <c r="J51" s="2">
        <f t="shared" si="31"/>
        <v>51497.170270000002</v>
      </c>
      <c r="K51" s="2">
        <f t="shared" si="31"/>
        <v>51497.170270000002</v>
      </c>
      <c r="L51" s="2">
        <f t="shared" si="31"/>
        <v>51497.170270000002</v>
      </c>
      <c r="M51" s="2">
        <f t="shared" si="31"/>
        <v>51497.170270000002</v>
      </c>
      <c r="N51" s="2">
        <f t="shared" si="31"/>
        <v>51497.170270000002</v>
      </c>
      <c r="O51" s="2">
        <f t="shared" si="31"/>
        <v>51497.170270000002</v>
      </c>
      <c r="P51" s="2">
        <f t="shared" si="31"/>
        <v>51497.170270000002</v>
      </c>
      <c r="Q51" s="2">
        <f t="shared" si="31"/>
        <v>47997.170270000002</v>
      </c>
      <c r="R51" s="2">
        <f t="shared" si="16"/>
        <v>598429.02505000005</v>
      </c>
    </row>
    <row r="52" spans="1:18" outlineLevel="4" x14ac:dyDescent="0.25">
      <c r="A52" s="1"/>
      <c r="B52" s="1"/>
      <c r="C52" s="1"/>
      <c r="D52" s="1" t="s">
        <v>48</v>
      </c>
      <c r="E52" s="1"/>
      <c r="F52" s="2"/>
      <c r="G52" s="2"/>
      <c r="H52" s="2"/>
      <c r="I52" s="2"/>
      <c r="J52" s="2"/>
      <c r="K52" s="2"/>
      <c r="L52" s="2"/>
      <c r="M52" s="2"/>
      <c r="N52" s="2"/>
      <c r="O52" s="2"/>
      <c r="P52" s="2"/>
      <c r="Q52" s="2"/>
      <c r="R52" s="2"/>
    </row>
    <row r="53" spans="1:18" outlineLevel="4" x14ac:dyDescent="0.25">
      <c r="A53" s="1"/>
      <c r="B53" s="1"/>
      <c r="C53" s="1"/>
      <c r="D53" s="1"/>
      <c r="E53" s="1" t="s">
        <v>246</v>
      </c>
      <c r="F53" s="2">
        <f>Salaries!C10/12</f>
        <v>0</v>
      </c>
      <c r="G53" s="2">
        <f>+F53</f>
        <v>0</v>
      </c>
      <c r="H53" s="2">
        <f t="shared" ref="H53" si="32">G53</f>
        <v>0</v>
      </c>
      <c r="I53" s="2">
        <f t="shared" ref="I53" si="33">H53</f>
        <v>0</v>
      </c>
      <c r="J53" s="2">
        <f t="shared" ref="J53" si="34">I53</f>
        <v>0</v>
      </c>
      <c r="K53" s="2">
        <f t="shared" ref="K53" si="35">J53</f>
        <v>0</v>
      </c>
      <c r="L53" s="2">
        <f t="shared" ref="L53" si="36">K53</f>
        <v>0</v>
      </c>
      <c r="M53" s="2">
        <f t="shared" ref="M53" si="37">L53</f>
        <v>0</v>
      </c>
      <c r="N53" s="2">
        <f t="shared" ref="N53" si="38">M53</f>
        <v>0</v>
      </c>
      <c r="O53" s="2">
        <f t="shared" ref="O53" si="39">N53</f>
        <v>0</v>
      </c>
      <c r="P53" s="2">
        <f t="shared" ref="P53" si="40">O53</f>
        <v>0</v>
      </c>
      <c r="Q53" s="2">
        <f>+P53</f>
        <v>0</v>
      </c>
      <c r="R53" s="2">
        <f t="shared" ref="R53:R55" si="41">ROUND(SUM(F53:Q53),5)</f>
        <v>0</v>
      </c>
    </row>
    <row r="54" spans="1:18" outlineLevel="4" x14ac:dyDescent="0.25">
      <c r="A54" s="1"/>
      <c r="B54" s="1"/>
      <c r="C54" s="1"/>
      <c r="D54" s="1"/>
      <c r="E54" s="1" t="s">
        <v>42</v>
      </c>
      <c r="F54" s="2">
        <f>+F53*0.0765</f>
        <v>0</v>
      </c>
      <c r="G54" s="2">
        <f t="shared" ref="G54:Q54" si="42">+G53*0.0765</f>
        <v>0</v>
      </c>
      <c r="H54" s="2">
        <f t="shared" si="42"/>
        <v>0</v>
      </c>
      <c r="I54" s="2">
        <f t="shared" si="42"/>
        <v>0</v>
      </c>
      <c r="J54" s="2">
        <f t="shared" si="42"/>
        <v>0</v>
      </c>
      <c r="K54" s="2">
        <f t="shared" si="42"/>
        <v>0</v>
      </c>
      <c r="L54" s="2">
        <f t="shared" si="42"/>
        <v>0</v>
      </c>
      <c r="M54" s="2">
        <f t="shared" si="42"/>
        <v>0</v>
      </c>
      <c r="N54" s="2">
        <f t="shared" si="42"/>
        <v>0</v>
      </c>
      <c r="O54" s="2">
        <f t="shared" si="42"/>
        <v>0</v>
      </c>
      <c r="P54" s="2">
        <f t="shared" si="42"/>
        <v>0</v>
      </c>
      <c r="Q54" s="2">
        <f t="shared" si="42"/>
        <v>0</v>
      </c>
      <c r="R54" s="2">
        <f t="shared" si="41"/>
        <v>0</v>
      </c>
    </row>
    <row r="55" spans="1:18" outlineLevel="4" x14ac:dyDescent="0.25">
      <c r="A55" s="1"/>
      <c r="B55" s="1"/>
      <c r="C55" s="1"/>
      <c r="D55" s="1"/>
      <c r="E55" s="1" t="s">
        <v>44</v>
      </c>
      <c r="F55" s="2">
        <v>0</v>
      </c>
      <c r="G55" s="2">
        <v>0</v>
      </c>
      <c r="H55" s="2">
        <v>0</v>
      </c>
      <c r="I55" s="2">
        <v>0</v>
      </c>
      <c r="J55" s="2">
        <v>0</v>
      </c>
      <c r="K55" s="2">
        <v>0</v>
      </c>
      <c r="L55" s="2">
        <v>0</v>
      </c>
      <c r="M55" s="2">
        <v>0</v>
      </c>
      <c r="N55" s="2">
        <v>0</v>
      </c>
      <c r="O55" s="2">
        <v>0</v>
      </c>
      <c r="P55" s="2">
        <v>0</v>
      </c>
      <c r="Q55" s="2">
        <v>0</v>
      </c>
      <c r="R55" s="2">
        <f t="shared" si="41"/>
        <v>0</v>
      </c>
    </row>
    <row r="56" spans="1:18" outlineLevel="4" x14ac:dyDescent="0.25">
      <c r="A56" s="1"/>
      <c r="B56" s="1"/>
      <c r="C56" s="1"/>
      <c r="D56" s="1"/>
      <c r="E56" s="1" t="s">
        <v>49</v>
      </c>
      <c r="F56" s="2">
        <v>0</v>
      </c>
      <c r="G56" s="2">
        <v>2000</v>
      </c>
      <c r="H56" s="2">
        <f t="shared" ref="H56:P56" si="43">G56</f>
        <v>2000</v>
      </c>
      <c r="I56" s="2">
        <v>2900</v>
      </c>
      <c r="J56" s="2">
        <v>3100</v>
      </c>
      <c r="K56" s="2">
        <f t="shared" si="43"/>
        <v>3100</v>
      </c>
      <c r="L56" s="2">
        <f t="shared" si="43"/>
        <v>3100</v>
      </c>
      <c r="M56" s="2">
        <f t="shared" si="43"/>
        <v>3100</v>
      </c>
      <c r="N56" s="2">
        <f t="shared" si="43"/>
        <v>3100</v>
      </c>
      <c r="O56" s="2">
        <f t="shared" si="43"/>
        <v>3100</v>
      </c>
      <c r="P56" s="2">
        <f t="shared" si="43"/>
        <v>3100</v>
      </c>
      <c r="Q56" s="2">
        <v>0</v>
      </c>
      <c r="R56" s="2">
        <f>ROUND(SUM(F56:Q56),5)</f>
        <v>28600</v>
      </c>
    </row>
    <row r="57" spans="1:18" ht="15.75" outlineLevel="4" thickBot="1" x14ac:dyDescent="0.3">
      <c r="A57" s="1"/>
      <c r="B57" s="1"/>
      <c r="C57" s="1"/>
      <c r="D57" s="1"/>
      <c r="E57" s="1" t="s">
        <v>50</v>
      </c>
      <c r="F57" s="3">
        <v>0</v>
      </c>
      <c r="G57" s="3">
        <v>0</v>
      </c>
      <c r="H57" s="3">
        <v>0</v>
      </c>
      <c r="I57" s="3">
        <v>0</v>
      </c>
      <c r="J57" s="3">
        <v>0</v>
      </c>
      <c r="K57" s="3">
        <v>1000</v>
      </c>
      <c r="L57" s="3">
        <v>0</v>
      </c>
      <c r="M57" s="3">
        <v>0</v>
      </c>
      <c r="N57" s="3">
        <v>0</v>
      </c>
      <c r="O57" s="3">
        <v>1000</v>
      </c>
      <c r="P57" s="3">
        <v>0</v>
      </c>
      <c r="Q57" s="3">
        <v>0</v>
      </c>
      <c r="R57" s="3">
        <f>ROUND(SUM(F57:Q57),5)</f>
        <v>2000</v>
      </c>
    </row>
    <row r="58" spans="1:18" outlineLevel="3" x14ac:dyDescent="0.25">
      <c r="A58" s="1"/>
      <c r="B58" s="1"/>
      <c r="C58" s="1"/>
      <c r="D58" s="1" t="s">
        <v>51</v>
      </c>
      <c r="E58" s="1"/>
      <c r="F58" s="2">
        <f t="shared" ref="F58:Q58" si="44">ROUND(SUM(F52:F57),5)</f>
        <v>0</v>
      </c>
      <c r="G58" s="2">
        <f t="shared" si="44"/>
        <v>2000</v>
      </c>
      <c r="H58" s="2">
        <f t="shared" si="44"/>
        <v>2000</v>
      </c>
      <c r="I58" s="2">
        <f t="shared" si="44"/>
        <v>2900</v>
      </c>
      <c r="J58" s="2">
        <f t="shared" si="44"/>
        <v>3100</v>
      </c>
      <c r="K58" s="2">
        <f t="shared" si="44"/>
        <v>4100</v>
      </c>
      <c r="L58" s="2">
        <f t="shared" si="44"/>
        <v>3100</v>
      </c>
      <c r="M58" s="2">
        <f t="shared" si="44"/>
        <v>3100</v>
      </c>
      <c r="N58" s="2">
        <f t="shared" si="44"/>
        <v>3100</v>
      </c>
      <c r="O58" s="2">
        <f t="shared" si="44"/>
        <v>4100</v>
      </c>
      <c r="P58" s="2">
        <f t="shared" si="44"/>
        <v>3100</v>
      </c>
      <c r="Q58" s="2">
        <f t="shared" si="44"/>
        <v>0</v>
      </c>
      <c r="R58" s="2">
        <f>ROUND(SUM(F58:Q58),5)</f>
        <v>30600</v>
      </c>
    </row>
    <row r="59" spans="1:18" outlineLevel="4" x14ac:dyDescent="0.25">
      <c r="A59" s="1"/>
      <c r="B59" s="1"/>
      <c r="C59" s="1"/>
      <c r="D59" s="1" t="s">
        <v>52</v>
      </c>
      <c r="E59" s="1"/>
      <c r="F59" s="2"/>
      <c r="G59" s="2"/>
      <c r="H59" s="2"/>
      <c r="I59" s="2"/>
      <c r="J59" s="2"/>
      <c r="K59" s="2"/>
      <c r="L59" s="2"/>
      <c r="M59" s="2"/>
      <c r="N59" s="2"/>
      <c r="O59" s="2"/>
      <c r="P59" s="2"/>
      <c r="Q59" s="2"/>
      <c r="R59" s="2"/>
    </row>
    <row r="60" spans="1:18" ht="15.75" outlineLevel="4" thickBot="1" x14ac:dyDescent="0.3">
      <c r="A60" s="1"/>
      <c r="B60" s="1"/>
      <c r="C60" s="1"/>
      <c r="D60" s="1"/>
      <c r="E60" s="1" t="s">
        <v>53</v>
      </c>
      <c r="F60" s="3">
        <v>0</v>
      </c>
      <c r="G60" s="3">
        <v>0</v>
      </c>
      <c r="H60" s="3">
        <v>0</v>
      </c>
      <c r="I60" s="3">
        <v>13025</v>
      </c>
      <c r="J60" s="3">
        <v>0</v>
      </c>
      <c r="K60" s="3">
        <v>0</v>
      </c>
      <c r="L60" s="3">
        <v>0</v>
      </c>
      <c r="M60" s="3">
        <v>5000</v>
      </c>
      <c r="N60" s="3">
        <v>0</v>
      </c>
      <c r="O60" s="3">
        <v>0</v>
      </c>
      <c r="P60" s="3">
        <v>0</v>
      </c>
      <c r="Q60" s="3">
        <v>0</v>
      </c>
      <c r="R60" s="3">
        <f>ROUND(SUM(F60:Q60),5)</f>
        <v>18025</v>
      </c>
    </row>
    <row r="61" spans="1:18" outlineLevel="3" x14ac:dyDescent="0.25">
      <c r="A61" s="1"/>
      <c r="B61" s="1"/>
      <c r="C61" s="1"/>
      <c r="D61" s="1" t="s">
        <v>54</v>
      </c>
      <c r="E61" s="1"/>
      <c r="F61" s="2">
        <f t="shared" ref="F61:Q61" si="45">ROUND(SUM(F59:F60),5)</f>
        <v>0</v>
      </c>
      <c r="G61" s="2">
        <f t="shared" si="45"/>
        <v>0</v>
      </c>
      <c r="H61" s="2">
        <f t="shared" si="45"/>
        <v>0</v>
      </c>
      <c r="I61" s="2">
        <f t="shared" si="45"/>
        <v>13025</v>
      </c>
      <c r="J61" s="2">
        <f t="shared" si="45"/>
        <v>0</v>
      </c>
      <c r="K61" s="2">
        <f t="shared" si="45"/>
        <v>0</v>
      </c>
      <c r="L61" s="2">
        <f t="shared" si="45"/>
        <v>0</v>
      </c>
      <c r="M61" s="2">
        <f t="shared" si="45"/>
        <v>5000</v>
      </c>
      <c r="N61" s="2">
        <f t="shared" si="45"/>
        <v>0</v>
      </c>
      <c r="O61" s="2">
        <f t="shared" si="45"/>
        <v>0</v>
      </c>
      <c r="P61" s="2">
        <f t="shared" si="45"/>
        <v>0</v>
      </c>
      <c r="Q61" s="2">
        <f t="shared" si="45"/>
        <v>0</v>
      </c>
      <c r="R61" s="2">
        <f>ROUND(SUM(F61:Q61),5)</f>
        <v>18025</v>
      </c>
    </row>
    <row r="62" spans="1:18" outlineLevel="4" x14ac:dyDescent="0.25">
      <c r="A62" s="1"/>
      <c r="B62" s="1"/>
      <c r="C62" s="1"/>
      <c r="D62" s="1" t="s">
        <v>55</v>
      </c>
      <c r="E62" s="1"/>
      <c r="F62" s="2"/>
      <c r="G62" s="2"/>
      <c r="H62" s="2"/>
      <c r="I62" s="2"/>
      <c r="J62" s="2"/>
      <c r="K62" s="2"/>
      <c r="L62" s="2"/>
      <c r="M62" s="2"/>
      <c r="N62" s="2"/>
      <c r="O62" s="2"/>
      <c r="P62" s="2"/>
      <c r="Q62" s="2"/>
      <c r="R62" s="2"/>
    </row>
    <row r="63" spans="1:18" ht="15.75" outlineLevel="4" thickBot="1" x14ac:dyDescent="0.3">
      <c r="A63" s="1"/>
      <c r="B63" s="1"/>
      <c r="C63" s="1"/>
      <c r="D63" s="1"/>
      <c r="E63" s="1" t="s">
        <v>56</v>
      </c>
      <c r="F63" s="3">
        <v>0</v>
      </c>
      <c r="G63" s="3">
        <v>0</v>
      </c>
      <c r="H63" s="3">
        <v>0</v>
      </c>
      <c r="I63" s="3">
        <v>7500</v>
      </c>
      <c r="J63" s="3">
        <v>0</v>
      </c>
      <c r="K63" s="3">
        <v>0</v>
      </c>
      <c r="L63" s="3">
        <v>0</v>
      </c>
      <c r="M63" s="3">
        <v>1000</v>
      </c>
      <c r="N63" s="3">
        <v>0</v>
      </c>
      <c r="O63" s="3">
        <v>0</v>
      </c>
      <c r="P63" s="3">
        <v>0</v>
      </c>
      <c r="Q63" s="3">
        <v>0</v>
      </c>
      <c r="R63" s="3">
        <f>ROUND(SUM(F63:Q63),5)</f>
        <v>8500</v>
      </c>
    </row>
    <row r="64" spans="1:18" outlineLevel="3" x14ac:dyDescent="0.25">
      <c r="A64" s="1"/>
      <c r="B64" s="1"/>
      <c r="C64" s="1"/>
      <c r="D64" s="1" t="s">
        <v>57</v>
      </c>
      <c r="E64" s="1"/>
      <c r="F64" s="2">
        <f t="shared" ref="F64:Q64" si="46">ROUND(SUM(F62:F63),5)</f>
        <v>0</v>
      </c>
      <c r="G64" s="2">
        <f t="shared" si="46"/>
        <v>0</v>
      </c>
      <c r="H64" s="2">
        <f t="shared" si="46"/>
        <v>0</v>
      </c>
      <c r="I64" s="2">
        <f t="shared" si="46"/>
        <v>7500</v>
      </c>
      <c r="J64" s="2">
        <f t="shared" si="46"/>
        <v>0</v>
      </c>
      <c r="K64" s="2">
        <f t="shared" si="46"/>
        <v>0</v>
      </c>
      <c r="L64" s="2">
        <f t="shared" si="46"/>
        <v>0</v>
      </c>
      <c r="M64" s="2">
        <f t="shared" si="46"/>
        <v>1000</v>
      </c>
      <c r="N64" s="2">
        <f t="shared" si="46"/>
        <v>0</v>
      </c>
      <c r="O64" s="2">
        <f t="shared" si="46"/>
        <v>0</v>
      </c>
      <c r="P64" s="2">
        <f t="shared" si="46"/>
        <v>0</v>
      </c>
      <c r="Q64" s="2">
        <f t="shared" si="46"/>
        <v>0</v>
      </c>
      <c r="R64" s="2">
        <f>ROUND(SUM(F64:Q64),5)</f>
        <v>8500</v>
      </c>
    </row>
    <row r="65" spans="1:18" outlineLevel="4" x14ac:dyDescent="0.25">
      <c r="A65" s="1"/>
      <c r="B65" s="1"/>
      <c r="C65" s="1"/>
      <c r="D65" s="1" t="s">
        <v>58</v>
      </c>
      <c r="E65" s="1"/>
      <c r="F65" s="2"/>
      <c r="G65" s="2"/>
      <c r="H65" s="2"/>
      <c r="I65" s="2"/>
      <c r="J65" s="2"/>
      <c r="K65" s="2"/>
      <c r="L65" s="2"/>
      <c r="M65" s="2"/>
      <c r="N65" s="2"/>
      <c r="O65" s="2"/>
      <c r="P65" s="2"/>
      <c r="Q65" s="2"/>
      <c r="R65" s="2"/>
    </row>
    <row r="66" spans="1:18" ht="15.75" outlineLevel="4" thickBot="1" x14ac:dyDescent="0.3">
      <c r="A66" s="1"/>
      <c r="B66" s="1"/>
      <c r="C66" s="1"/>
      <c r="D66" s="1"/>
      <c r="E66" s="1" t="s">
        <v>59</v>
      </c>
      <c r="F66" s="3">
        <f>+F22*0.05</f>
        <v>1846.3500000000001</v>
      </c>
      <c r="G66" s="3">
        <f t="shared" ref="G66:Q66" si="47">+G22*0.05</f>
        <v>1846.3500000000001</v>
      </c>
      <c r="H66" s="3">
        <f t="shared" si="47"/>
        <v>1846.3500000000001</v>
      </c>
      <c r="I66" s="3">
        <f t="shared" si="47"/>
        <v>1846.3500000000001</v>
      </c>
      <c r="J66" s="3">
        <f t="shared" si="47"/>
        <v>1846.3500000000001</v>
      </c>
      <c r="K66" s="3">
        <f t="shared" si="47"/>
        <v>1846.3500000000001</v>
      </c>
      <c r="L66" s="3">
        <f t="shared" si="47"/>
        <v>1846.3500000000001</v>
      </c>
      <c r="M66" s="3">
        <f t="shared" si="47"/>
        <v>1846.3500000000001</v>
      </c>
      <c r="N66" s="3">
        <f t="shared" si="47"/>
        <v>1846.3500000000001</v>
      </c>
      <c r="O66" s="3">
        <f t="shared" si="47"/>
        <v>1846.3500000000001</v>
      </c>
      <c r="P66" s="3">
        <f t="shared" si="47"/>
        <v>1846.3500000000001</v>
      </c>
      <c r="Q66" s="3">
        <f t="shared" si="47"/>
        <v>1846.3500000000001</v>
      </c>
      <c r="R66" s="3">
        <f>ROUND(SUM(F66:Q66),5)</f>
        <v>22156.2</v>
      </c>
    </row>
    <row r="67" spans="1:18" outlineLevel="3" x14ac:dyDescent="0.25">
      <c r="A67" s="1"/>
      <c r="B67" s="1"/>
      <c r="C67" s="1"/>
      <c r="D67" s="1" t="s">
        <v>60</v>
      </c>
      <c r="E67" s="1"/>
      <c r="F67" s="2">
        <f t="shared" ref="F67:Q67" si="48">ROUND(SUM(F65:F66),5)</f>
        <v>1846.35</v>
      </c>
      <c r="G67" s="2">
        <f t="shared" si="48"/>
        <v>1846.35</v>
      </c>
      <c r="H67" s="2">
        <f t="shared" si="48"/>
        <v>1846.35</v>
      </c>
      <c r="I67" s="2">
        <f t="shared" si="48"/>
        <v>1846.35</v>
      </c>
      <c r="J67" s="2">
        <f t="shared" si="48"/>
        <v>1846.35</v>
      </c>
      <c r="K67" s="2">
        <f t="shared" si="48"/>
        <v>1846.35</v>
      </c>
      <c r="L67" s="2">
        <f t="shared" si="48"/>
        <v>1846.35</v>
      </c>
      <c r="M67" s="2">
        <f t="shared" si="48"/>
        <v>1846.35</v>
      </c>
      <c r="N67" s="2">
        <f t="shared" si="48"/>
        <v>1846.35</v>
      </c>
      <c r="O67" s="2">
        <f t="shared" si="48"/>
        <v>1846.35</v>
      </c>
      <c r="P67" s="2">
        <f t="shared" si="48"/>
        <v>1846.35</v>
      </c>
      <c r="Q67" s="2">
        <f t="shared" si="48"/>
        <v>1846.35</v>
      </c>
      <c r="R67" s="2">
        <f>ROUND(SUM(F67:Q67),5)</f>
        <v>22156.2</v>
      </c>
    </row>
    <row r="68" spans="1:18" outlineLevel="4" x14ac:dyDescent="0.25">
      <c r="A68" s="1"/>
      <c r="B68" s="1"/>
      <c r="C68" s="1"/>
      <c r="D68" s="1" t="s">
        <v>61</v>
      </c>
      <c r="E68" s="1"/>
      <c r="F68" s="2"/>
      <c r="G68" s="2"/>
      <c r="H68" s="2"/>
      <c r="I68" s="2"/>
      <c r="J68" s="2"/>
      <c r="K68" s="2"/>
      <c r="L68" s="2"/>
      <c r="M68" s="2"/>
      <c r="N68" s="2"/>
      <c r="O68" s="2"/>
      <c r="P68" s="2"/>
      <c r="Q68" s="2"/>
      <c r="R68" s="2"/>
    </row>
    <row r="69" spans="1:18" outlineLevel="4" x14ac:dyDescent="0.25">
      <c r="A69" s="1"/>
      <c r="B69" s="1"/>
      <c r="C69" s="1"/>
      <c r="D69" s="1"/>
      <c r="E69" s="1" t="s">
        <v>62</v>
      </c>
      <c r="F69" s="2">
        <f>Salaries!C26/12</f>
        <v>12083.333333333334</v>
      </c>
      <c r="G69" s="2">
        <f t="shared" ref="G69:Q69" si="49">+F69</f>
        <v>12083.333333333334</v>
      </c>
      <c r="H69" s="2">
        <f t="shared" si="49"/>
        <v>12083.333333333334</v>
      </c>
      <c r="I69" s="2">
        <f t="shared" si="49"/>
        <v>12083.333333333334</v>
      </c>
      <c r="J69" s="2">
        <f t="shared" si="49"/>
        <v>12083.333333333334</v>
      </c>
      <c r="K69" s="2">
        <f t="shared" si="49"/>
        <v>12083.333333333334</v>
      </c>
      <c r="L69" s="2">
        <f t="shared" si="49"/>
        <v>12083.333333333334</v>
      </c>
      <c r="M69" s="2">
        <f t="shared" si="49"/>
        <v>12083.333333333334</v>
      </c>
      <c r="N69" s="2">
        <f t="shared" si="49"/>
        <v>12083.333333333334</v>
      </c>
      <c r="O69" s="2">
        <f t="shared" si="49"/>
        <v>12083.333333333334</v>
      </c>
      <c r="P69" s="2">
        <f t="shared" si="49"/>
        <v>12083.333333333334</v>
      </c>
      <c r="Q69" s="2">
        <f t="shared" si="49"/>
        <v>12083.333333333334</v>
      </c>
      <c r="R69" s="2">
        <f t="shared" ref="R69:R80" si="50">ROUND(SUM(F69:Q69),5)</f>
        <v>145000</v>
      </c>
    </row>
    <row r="70" spans="1:18" outlineLevel="4" x14ac:dyDescent="0.25">
      <c r="A70" s="1"/>
      <c r="B70" s="1"/>
      <c r="C70" s="1"/>
      <c r="D70" s="1"/>
      <c r="E70" s="1" t="s">
        <v>63</v>
      </c>
      <c r="F70" s="2">
        <v>0</v>
      </c>
      <c r="G70" s="2">
        <v>0</v>
      </c>
      <c r="H70" s="2">
        <v>0</v>
      </c>
      <c r="I70" s="2">
        <v>0</v>
      </c>
      <c r="J70" s="2">
        <v>0</v>
      </c>
      <c r="K70" s="2">
        <v>0</v>
      </c>
      <c r="L70" s="2">
        <v>0</v>
      </c>
      <c r="M70" s="2">
        <v>0</v>
      </c>
      <c r="N70" s="2">
        <v>0</v>
      </c>
      <c r="O70" s="2">
        <v>0</v>
      </c>
      <c r="P70" s="2">
        <v>0</v>
      </c>
      <c r="Q70" s="2">
        <v>0</v>
      </c>
      <c r="R70" s="2">
        <f t="shared" si="50"/>
        <v>0</v>
      </c>
    </row>
    <row r="71" spans="1:18" outlineLevel="4" x14ac:dyDescent="0.25">
      <c r="A71" s="1"/>
      <c r="B71" s="1"/>
      <c r="C71" s="1"/>
      <c r="D71" s="1"/>
      <c r="E71" s="1" t="s">
        <v>64</v>
      </c>
      <c r="F71" s="2">
        <f>+F69*0.0765</f>
        <v>924.375</v>
      </c>
      <c r="G71" s="2">
        <f t="shared" ref="G71:Q71" si="51">+G69*0.0765</f>
        <v>924.375</v>
      </c>
      <c r="H71" s="2">
        <f t="shared" si="51"/>
        <v>924.375</v>
      </c>
      <c r="I71" s="2">
        <f t="shared" si="51"/>
        <v>924.375</v>
      </c>
      <c r="J71" s="2">
        <f t="shared" si="51"/>
        <v>924.375</v>
      </c>
      <c r="K71" s="2">
        <f t="shared" si="51"/>
        <v>924.375</v>
      </c>
      <c r="L71" s="2">
        <f t="shared" si="51"/>
        <v>924.375</v>
      </c>
      <c r="M71" s="2">
        <f t="shared" si="51"/>
        <v>924.375</v>
      </c>
      <c r="N71" s="2">
        <f t="shared" si="51"/>
        <v>924.375</v>
      </c>
      <c r="O71" s="2">
        <f t="shared" si="51"/>
        <v>924.375</v>
      </c>
      <c r="P71" s="2">
        <f t="shared" si="51"/>
        <v>924.375</v>
      </c>
      <c r="Q71" s="2">
        <f t="shared" si="51"/>
        <v>924.375</v>
      </c>
      <c r="R71" s="2">
        <f t="shared" si="50"/>
        <v>11092.5</v>
      </c>
    </row>
    <row r="72" spans="1:18" outlineLevel="4" x14ac:dyDescent="0.25">
      <c r="A72" s="1"/>
      <c r="B72" s="1"/>
      <c r="C72" s="1"/>
      <c r="D72" s="1"/>
      <c r="E72" s="1" t="s">
        <v>65</v>
      </c>
      <c r="F72" s="2">
        <f>378/12</f>
        <v>31.5</v>
      </c>
      <c r="G72" s="2">
        <f t="shared" ref="G72:Q72" si="52">378/12</f>
        <v>31.5</v>
      </c>
      <c r="H72" s="2">
        <f t="shared" si="52"/>
        <v>31.5</v>
      </c>
      <c r="I72" s="2">
        <f t="shared" si="52"/>
        <v>31.5</v>
      </c>
      <c r="J72" s="2">
        <f t="shared" si="52"/>
        <v>31.5</v>
      </c>
      <c r="K72" s="2">
        <f t="shared" si="52"/>
        <v>31.5</v>
      </c>
      <c r="L72" s="2">
        <f t="shared" si="52"/>
        <v>31.5</v>
      </c>
      <c r="M72" s="2">
        <f t="shared" si="52"/>
        <v>31.5</v>
      </c>
      <c r="N72" s="2">
        <f t="shared" si="52"/>
        <v>31.5</v>
      </c>
      <c r="O72" s="2">
        <f t="shared" si="52"/>
        <v>31.5</v>
      </c>
      <c r="P72" s="2">
        <f t="shared" si="52"/>
        <v>31.5</v>
      </c>
      <c r="Q72" s="2">
        <f t="shared" si="52"/>
        <v>31.5</v>
      </c>
      <c r="R72" s="2">
        <f t="shared" si="50"/>
        <v>378</v>
      </c>
    </row>
    <row r="73" spans="1:18" outlineLevel="4" x14ac:dyDescent="0.25">
      <c r="A73" s="1"/>
      <c r="B73" s="1"/>
      <c r="C73" s="1"/>
      <c r="D73" s="1"/>
      <c r="E73" s="1" t="s">
        <v>66</v>
      </c>
      <c r="F73" s="2">
        <v>13280</v>
      </c>
      <c r="G73" s="2">
        <v>0</v>
      </c>
      <c r="H73" s="2">
        <v>0</v>
      </c>
      <c r="I73" s="2">
        <v>0</v>
      </c>
      <c r="J73" s="2">
        <v>500</v>
      </c>
      <c r="K73" s="2">
        <f t="shared" ref="K73:Q73" si="53">+J73</f>
        <v>500</v>
      </c>
      <c r="L73" s="2">
        <f t="shared" si="53"/>
        <v>500</v>
      </c>
      <c r="M73" s="2">
        <f t="shared" si="53"/>
        <v>500</v>
      </c>
      <c r="N73" s="2">
        <f t="shared" si="53"/>
        <v>500</v>
      </c>
      <c r="O73" s="2">
        <f t="shared" si="53"/>
        <v>500</v>
      </c>
      <c r="P73" s="2">
        <f t="shared" si="53"/>
        <v>500</v>
      </c>
      <c r="Q73" s="2">
        <f t="shared" si="53"/>
        <v>500</v>
      </c>
      <c r="R73" s="2">
        <f t="shared" si="50"/>
        <v>17280</v>
      </c>
    </row>
    <row r="74" spans="1:18" outlineLevel="4" x14ac:dyDescent="0.25">
      <c r="A74" s="1"/>
      <c r="B74" s="1"/>
      <c r="C74" s="1"/>
      <c r="D74" s="1"/>
      <c r="E74" s="1" t="s">
        <v>67</v>
      </c>
      <c r="F74" s="2">
        <v>0</v>
      </c>
      <c r="G74" s="2">
        <v>0</v>
      </c>
      <c r="H74" s="2">
        <v>0</v>
      </c>
      <c r="I74" s="2">
        <v>193.5</v>
      </c>
      <c r="J74" s="2">
        <v>0</v>
      </c>
      <c r="K74" s="2">
        <v>0</v>
      </c>
      <c r="L74" s="2">
        <v>500</v>
      </c>
      <c r="M74" s="2">
        <v>0</v>
      </c>
      <c r="N74" s="2">
        <v>0</v>
      </c>
      <c r="O74" s="2">
        <v>350</v>
      </c>
      <c r="P74" s="2">
        <v>0</v>
      </c>
      <c r="Q74" s="2">
        <v>0</v>
      </c>
      <c r="R74" s="2">
        <f t="shared" si="50"/>
        <v>1043.5</v>
      </c>
    </row>
    <row r="75" spans="1:18" outlineLevel="4" x14ac:dyDescent="0.25">
      <c r="A75" s="1"/>
      <c r="B75" s="1"/>
      <c r="C75" s="1"/>
      <c r="D75" s="1"/>
      <c r="E75" s="1" t="s">
        <v>68</v>
      </c>
      <c r="F75" s="2">
        <v>0</v>
      </c>
      <c r="G75" s="2">
        <v>0</v>
      </c>
      <c r="H75" s="2">
        <v>400</v>
      </c>
      <c r="I75" s="2">
        <v>0</v>
      </c>
      <c r="J75" s="2">
        <v>0</v>
      </c>
      <c r="K75" s="2">
        <f>+H75</f>
        <v>400</v>
      </c>
      <c r="L75" s="2">
        <v>0</v>
      </c>
      <c r="M75" s="2">
        <v>0</v>
      </c>
      <c r="N75" s="2">
        <f>+K75</f>
        <v>400</v>
      </c>
      <c r="O75" s="2">
        <v>0</v>
      </c>
      <c r="P75" s="2">
        <v>0</v>
      </c>
      <c r="Q75" s="2">
        <f>+N75</f>
        <v>400</v>
      </c>
      <c r="R75" s="2">
        <f t="shared" si="50"/>
        <v>1600</v>
      </c>
    </row>
    <row r="76" spans="1:18" outlineLevel="4" x14ac:dyDescent="0.25">
      <c r="A76" s="1"/>
      <c r="B76" s="1"/>
      <c r="C76" s="1"/>
      <c r="D76" s="1"/>
      <c r="E76" s="1" t="s">
        <v>69</v>
      </c>
      <c r="F76" s="2">
        <v>0</v>
      </c>
      <c r="G76" s="2">
        <v>25</v>
      </c>
      <c r="H76" s="2">
        <v>0</v>
      </c>
      <c r="I76" s="2">
        <v>0</v>
      </c>
      <c r="J76" s="2">
        <v>25</v>
      </c>
      <c r="K76" s="2">
        <v>0</v>
      </c>
      <c r="L76" s="2">
        <v>25</v>
      </c>
      <c r="M76" s="2">
        <v>25</v>
      </c>
      <c r="N76" s="2">
        <v>0</v>
      </c>
      <c r="O76" s="2">
        <v>0</v>
      </c>
      <c r="P76" s="2">
        <v>0</v>
      </c>
      <c r="Q76" s="2">
        <v>0</v>
      </c>
      <c r="R76" s="2">
        <f t="shared" si="50"/>
        <v>100</v>
      </c>
    </row>
    <row r="77" spans="1:18" outlineLevel="4" x14ac:dyDescent="0.25">
      <c r="A77" s="1"/>
      <c r="B77" s="1"/>
      <c r="C77" s="1"/>
      <c r="D77" s="1"/>
      <c r="E77" s="1" t="s">
        <v>70</v>
      </c>
      <c r="F77" s="2">
        <v>100</v>
      </c>
      <c r="G77" s="2">
        <v>100</v>
      </c>
      <c r="H77" s="2">
        <v>0</v>
      </c>
      <c r="I77" s="2">
        <v>100</v>
      </c>
      <c r="J77" s="2">
        <v>0</v>
      </c>
      <c r="K77" s="2">
        <v>0</v>
      </c>
      <c r="L77" s="2">
        <v>100</v>
      </c>
      <c r="M77" s="2">
        <v>0</v>
      </c>
      <c r="N77" s="2">
        <v>0</v>
      </c>
      <c r="O77" s="2">
        <v>100</v>
      </c>
      <c r="P77" s="2">
        <v>0</v>
      </c>
      <c r="Q77" s="2">
        <v>0</v>
      </c>
      <c r="R77" s="2">
        <f t="shared" si="50"/>
        <v>500</v>
      </c>
    </row>
    <row r="78" spans="1:18" outlineLevel="4" x14ac:dyDescent="0.25">
      <c r="A78" s="1"/>
      <c r="B78" s="1"/>
      <c r="C78" s="1"/>
      <c r="D78" s="1"/>
      <c r="E78" s="1" t="s">
        <v>71</v>
      </c>
      <c r="F78" s="2">
        <v>0</v>
      </c>
      <c r="G78" s="2">
        <v>200</v>
      </c>
      <c r="H78" s="2">
        <f t="shared" ref="H78:P78" si="54">+G78</f>
        <v>200</v>
      </c>
      <c r="I78" s="2">
        <v>6223</v>
      </c>
      <c r="J78" s="2">
        <v>1000</v>
      </c>
      <c r="K78" s="2">
        <f t="shared" si="54"/>
        <v>1000</v>
      </c>
      <c r="L78" s="2">
        <f t="shared" si="54"/>
        <v>1000</v>
      </c>
      <c r="M78" s="2">
        <f t="shared" si="54"/>
        <v>1000</v>
      </c>
      <c r="N78" s="2">
        <f t="shared" si="54"/>
        <v>1000</v>
      </c>
      <c r="O78" s="2">
        <f t="shared" si="54"/>
        <v>1000</v>
      </c>
      <c r="P78" s="2">
        <f t="shared" si="54"/>
        <v>1000</v>
      </c>
      <c r="Q78" s="2">
        <v>0</v>
      </c>
      <c r="R78" s="2">
        <f t="shared" si="50"/>
        <v>13623</v>
      </c>
    </row>
    <row r="79" spans="1:18" ht="15.75" outlineLevel="4" thickBot="1" x14ac:dyDescent="0.3">
      <c r="A79" s="1"/>
      <c r="B79" s="1"/>
      <c r="C79" s="1"/>
      <c r="D79" s="1"/>
      <c r="E79" s="1" t="s">
        <v>281</v>
      </c>
      <c r="F79" s="3">
        <v>0</v>
      </c>
      <c r="G79" s="3">
        <v>11986</v>
      </c>
      <c r="H79" s="3">
        <v>0</v>
      </c>
      <c r="I79" s="3">
        <v>0</v>
      </c>
      <c r="J79" s="3">
        <v>0</v>
      </c>
      <c r="K79" s="3">
        <v>0</v>
      </c>
      <c r="L79" s="3">
        <v>0</v>
      </c>
      <c r="M79" s="3">
        <v>0</v>
      </c>
      <c r="N79" s="3">
        <v>0</v>
      </c>
      <c r="O79" s="3">
        <v>0</v>
      </c>
      <c r="P79" s="3">
        <v>0</v>
      </c>
      <c r="Q79" s="3">
        <v>0</v>
      </c>
      <c r="R79" s="3">
        <f t="shared" si="50"/>
        <v>11986</v>
      </c>
    </row>
    <row r="80" spans="1:18" outlineLevel="3" x14ac:dyDescent="0.25">
      <c r="A80" s="1"/>
      <c r="B80" s="1"/>
      <c r="C80" s="1"/>
      <c r="D80" s="1" t="s">
        <v>72</v>
      </c>
      <c r="E80" s="1"/>
      <c r="F80" s="2">
        <f t="shared" ref="F80:Q80" si="55">ROUND(SUM(F68:F79),5)</f>
        <v>26419.208330000001</v>
      </c>
      <c r="G80" s="2">
        <f t="shared" si="55"/>
        <v>25350.208330000001</v>
      </c>
      <c r="H80" s="2">
        <f t="shared" si="55"/>
        <v>13639.208329999999</v>
      </c>
      <c r="I80" s="2">
        <f t="shared" si="55"/>
        <v>19555.708330000001</v>
      </c>
      <c r="J80" s="2">
        <f t="shared" si="55"/>
        <v>14564.208329999999</v>
      </c>
      <c r="K80" s="2">
        <f t="shared" si="55"/>
        <v>14939.208329999999</v>
      </c>
      <c r="L80" s="2">
        <f t="shared" si="55"/>
        <v>15164.208329999999</v>
      </c>
      <c r="M80" s="2">
        <f t="shared" si="55"/>
        <v>14564.208329999999</v>
      </c>
      <c r="N80" s="2">
        <f t="shared" si="55"/>
        <v>14939.208329999999</v>
      </c>
      <c r="O80" s="2">
        <f t="shared" si="55"/>
        <v>14989.208329999999</v>
      </c>
      <c r="P80" s="2">
        <f t="shared" si="55"/>
        <v>14539.208329999999</v>
      </c>
      <c r="Q80" s="2">
        <f t="shared" si="55"/>
        <v>13939.208329999999</v>
      </c>
      <c r="R80" s="2">
        <f t="shared" si="50"/>
        <v>202602.99995999999</v>
      </c>
    </row>
    <row r="81" spans="1:18" outlineLevel="4" x14ac:dyDescent="0.25">
      <c r="A81" s="1"/>
      <c r="B81" s="1"/>
      <c r="C81" s="1"/>
      <c r="D81" s="1" t="s">
        <v>73</v>
      </c>
      <c r="E81" s="1"/>
      <c r="F81" s="2"/>
      <c r="G81" s="2"/>
      <c r="H81" s="2"/>
      <c r="I81" s="2"/>
      <c r="J81" s="2"/>
      <c r="K81" s="2"/>
      <c r="L81" s="2"/>
      <c r="M81" s="2"/>
      <c r="N81" s="2"/>
      <c r="O81" s="2"/>
      <c r="P81" s="2"/>
      <c r="Q81" s="2"/>
      <c r="R81" s="2"/>
    </row>
    <row r="82" spans="1:18" ht="15.75" outlineLevel="4" thickBot="1" x14ac:dyDescent="0.3">
      <c r="A82" s="1"/>
      <c r="B82" s="1"/>
      <c r="C82" s="1"/>
      <c r="D82" s="1"/>
      <c r="E82" s="1" t="s">
        <v>74</v>
      </c>
      <c r="F82" s="3">
        <f>FEFP!$C$27*(100/12)+350</f>
        <v>783.33333333333337</v>
      </c>
      <c r="G82" s="3">
        <f>FEFP!$C$27*(100/12)</f>
        <v>433.33333333333337</v>
      </c>
      <c r="H82" s="3">
        <f>FEFP!$C$27*(100/12)+100</f>
        <v>533.33333333333337</v>
      </c>
      <c r="I82" s="3">
        <f>FEFP!$C$27*(100/12)</f>
        <v>433.33333333333337</v>
      </c>
      <c r="J82" s="3">
        <f>FEFP!$C$27*(100/12)</f>
        <v>433.33333333333337</v>
      </c>
      <c r="K82" s="3">
        <f>FEFP!$C$27*(100/12)</f>
        <v>433.33333333333337</v>
      </c>
      <c r="L82" s="3">
        <f>FEFP!$C$27*(100/12)+250</f>
        <v>683.33333333333337</v>
      </c>
      <c r="M82" s="3">
        <f>FEFP!$C$27*(100/12)</f>
        <v>433.33333333333337</v>
      </c>
      <c r="N82" s="3">
        <f>FEFP!$C$27*(100/12)</f>
        <v>433.33333333333337</v>
      </c>
      <c r="O82" s="3">
        <f>FEFP!$C$27*(100/12)+300</f>
        <v>733.33333333333337</v>
      </c>
      <c r="P82" s="3">
        <f>FEFP!$C$27*(100/12)</f>
        <v>433.33333333333337</v>
      </c>
      <c r="Q82" s="3">
        <f>FEFP!$C$27*(100/12)</f>
        <v>433.33333333333337</v>
      </c>
      <c r="R82" s="3">
        <f>ROUND(SUM(F82:Q82),5)</f>
        <v>6200</v>
      </c>
    </row>
    <row r="83" spans="1:18" outlineLevel="3" x14ac:dyDescent="0.25">
      <c r="A83" s="1"/>
      <c r="B83" s="1"/>
      <c r="C83" s="1"/>
      <c r="D83" s="1" t="s">
        <v>75</v>
      </c>
      <c r="E83" s="1"/>
      <c r="F83" s="2">
        <f t="shared" ref="F83:Q83" si="56">ROUND(SUM(F81:F82),5)</f>
        <v>783.33333000000005</v>
      </c>
      <c r="G83" s="2">
        <f t="shared" si="56"/>
        <v>433.33332999999999</v>
      </c>
      <c r="H83" s="2">
        <f t="shared" si="56"/>
        <v>533.33333000000005</v>
      </c>
      <c r="I83" s="2">
        <f t="shared" si="56"/>
        <v>433.33332999999999</v>
      </c>
      <c r="J83" s="2">
        <f t="shared" si="56"/>
        <v>433.33332999999999</v>
      </c>
      <c r="K83" s="2">
        <f t="shared" si="56"/>
        <v>433.33332999999999</v>
      </c>
      <c r="L83" s="2">
        <f t="shared" si="56"/>
        <v>683.33333000000005</v>
      </c>
      <c r="M83" s="2">
        <f t="shared" si="56"/>
        <v>433.33332999999999</v>
      </c>
      <c r="N83" s="2">
        <f t="shared" si="56"/>
        <v>433.33332999999999</v>
      </c>
      <c r="O83" s="2">
        <f t="shared" si="56"/>
        <v>733.33333000000005</v>
      </c>
      <c r="P83" s="2">
        <f t="shared" si="56"/>
        <v>433.33332999999999</v>
      </c>
      <c r="Q83" s="2">
        <f t="shared" si="56"/>
        <v>433.33332999999999</v>
      </c>
      <c r="R83" s="2">
        <f>ROUND(SUM(F83:Q83),5)</f>
        <v>6199.9999600000001</v>
      </c>
    </row>
    <row r="84" spans="1:18" outlineLevel="4" x14ac:dyDescent="0.25">
      <c r="A84" s="1"/>
      <c r="B84" s="1"/>
      <c r="C84" s="1"/>
      <c r="D84" s="1" t="s">
        <v>76</v>
      </c>
      <c r="E84" s="1"/>
      <c r="F84" s="2"/>
      <c r="G84" s="2"/>
      <c r="H84" s="2"/>
      <c r="I84" s="2"/>
      <c r="J84" s="2"/>
      <c r="K84" s="2"/>
      <c r="L84" s="2"/>
      <c r="M84" s="2"/>
      <c r="N84" s="2"/>
      <c r="O84" s="2"/>
      <c r="P84" s="2"/>
      <c r="Q84" s="2"/>
      <c r="R84" s="2"/>
    </row>
    <row r="85" spans="1:18" ht="15.75" outlineLevel="4" thickBot="1" x14ac:dyDescent="0.3">
      <c r="A85" s="1"/>
      <c r="B85" s="1"/>
      <c r="C85" s="1"/>
      <c r="D85" s="1"/>
      <c r="E85" s="99" t="s">
        <v>241</v>
      </c>
      <c r="F85" s="100">
        <v>0</v>
      </c>
      <c r="G85" s="100">
        <v>0</v>
      </c>
      <c r="H85" s="100">
        <v>0</v>
      </c>
      <c r="I85" s="100">
        <v>904.83</v>
      </c>
      <c r="J85" s="100">
        <v>0</v>
      </c>
      <c r="K85" s="100">
        <v>0</v>
      </c>
      <c r="L85" s="100">
        <v>0</v>
      </c>
      <c r="M85" s="100">
        <v>500</v>
      </c>
      <c r="N85" s="100">
        <v>0</v>
      </c>
      <c r="O85" s="100">
        <v>0</v>
      </c>
      <c r="P85" s="100">
        <v>0</v>
      </c>
      <c r="Q85" s="100">
        <v>0</v>
      </c>
      <c r="R85" s="100">
        <f>ROUND(SUM(F85:Q85),5)</f>
        <v>1404.83</v>
      </c>
    </row>
    <row r="86" spans="1:18" outlineLevel="3" x14ac:dyDescent="0.25">
      <c r="A86" s="1"/>
      <c r="B86" s="1"/>
      <c r="C86" s="1"/>
      <c r="D86" s="1" t="s">
        <v>77</v>
      </c>
      <c r="E86" s="1"/>
      <c r="F86" s="2">
        <f t="shared" ref="F86:Q86" si="57">ROUND(SUM(F84:F85),5)</f>
        <v>0</v>
      </c>
      <c r="G86" s="2">
        <f t="shared" si="57"/>
        <v>0</v>
      </c>
      <c r="H86" s="2">
        <f t="shared" si="57"/>
        <v>0</v>
      </c>
      <c r="I86" s="2">
        <f t="shared" si="57"/>
        <v>904.83</v>
      </c>
      <c r="J86" s="2">
        <f t="shared" si="57"/>
        <v>0</v>
      </c>
      <c r="K86" s="2">
        <f t="shared" si="57"/>
        <v>0</v>
      </c>
      <c r="L86" s="2">
        <f t="shared" si="57"/>
        <v>0</v>
      </c>
      <c r="M86" s="2">
        <f t="shared" si="57"/>
        <v>500</v>
      </c>
      <c r="N86" s="2">
        <f t="shared" si="57"/>
        <v>0</v>
      </c>
      <c r="O86" s="2">
        <f t="shared" si="57"/>
        <v>0</v>
      </c>
      <c r="P86" s="2">
        <f t="shared" si="57"/>
        <v>0</v>
      </c>
      <c r="Q86" s="2">
        <f t="shared" si="57"/>
        <v>0</v>
      </c>
      <c r="R86" s="2">
        <f>ROUND(SUM(F86:Q86),5)</f>
        <v>1404.83</v>
      </c>
    </row>
    <row r="87" spans="1:18" outlineLevel="4" x14ac:dyDescent="0.25">
      <c r="A87" s="1"/>
      <c r="B87" s="1"/>
      <c r="C87" s="1"/>
      <c r="D87" s="1" t="s">
        <v>78</v>
      </c>
      <c r="E87" s="1"/>
      <c r="F87" s="2"/>
      <c r="G87" s="2"/>
      <c r="H87" s="2"/>
      <c r="I87" s="2"/>
      <c r="J87" s="2"/>
      <c r="K87" s="2"/>
      <c r="L87" s="2"/>
      <c r="M87" s="2"/>
      <c r="N87" s="2"/>
      <c r="O87" s="2"/>
      <c r="P87" s="2"/>
      <c r="Q87" s="2"/>
      <c r="R87" s="2"/>
    </row>
    <row r="88" spans="1:18" outlineLevel="4" x14ac:dyDescent="0.25">
      <c r="A88" s="1"/>
      <c r="B88" s="1"/>
      <c r="C88" s="1"/>
      <c r="D88" s="1"/>
      <c r="E88" s="1" t="s">
        <v>79</v>
      </c>
      <c r="F88" s="2">
        <v>850</v>
      </c>
      <c r="G88" s="2">
        <f t="shared" ref="G88:Q88" si="58">F88</f>
        <v>850</v>
      </c>
      <c r="H88" s="2">
        <f t="shared" si="58"/>
        <v>850</v>
      </c>
      <c r="I88" s="2">
        <f t="shared" si="58"/>
        <v>850</v>
      </c>
      <c r="J88" s="2">
        <f t="shared" si="58"/>
        <v>850</v>
      </c>
      <c r="K88" s="2">
        <f t="shared" si="58"/>
        <v>850</v>
      </c>
      <c r="L88" s="2">
        <f t="shared" si="58"/>
        <v>850</v>
      </c>
      <c r="M88" s="2">
        <f t="shared" si="58"/>
        <v>850</v>
      </c>
      <c r="N88" s="2">
        <f t="shared" si="58"/>
        <v>850</v>
      </c>
      <c r="O88" s="2">
        <f t="shared" si="58"/>
        <v>850</v>
      </c>
      <c r="P88" s="2">
        <f t="shared" si="58"/>
        <v>850</v>
      </c>
      <c r="Q88" s="2">
        <f t="shared" si="58"/>
        <v>850</v>
      </c>
      <c r="R88" s="2">
        <f t="shared" ref="R88:R95" si="59">ROUND(SUM(F88:Q88),5)</f>
        <v>10200</v>
      </c>
    </row>
    <row r="89" spans="1:18" outlineLevel="4" x14ac:dyDescent="0.25">
      <c r="A89" s="1"/>
      <c r="B89" s="1"/>
      <c r="C89" s="1"/>
      <c r="D89" s="1"/>
      <c r="E89" s="1" t="s">
        <v>80</v>
      </c>
      <c r="F89" s="2">
        <v>3125</v>
      </c>
      <c r="G89" s="2">
        <f t="shared" ref="G89:O89" si="60">F89</f>
        <v>3125</v>
      </c>
      <c r="H89" s="2">
        <f t="shared" si="60"/>
        <v>3125</v>
      </c>
      <c r="I89" s="2">
        <f t="shared" si="60"/>
        <v>3125</v>
      </c>
      <c r="J89" s="2">
        <f t="shared" si="60"/>
        <v>3125</v>
      </c>
      <c r="K89" s="2">
        <f t="shared" si="60"/>
        <v>3125</v>
      </c>
      <c r="L89" s="2">
        <f t="shared" si="60"/>
        <v>3125</v>
      </c>
      <c r="M89" s="2">
        <f t="shared" si="60"/>
        <v>3125</v>
      </c>
      <c r="N89" s="2">
        <f t="shared" si="60"/>
        <v>3125</v>
      </c>
      <c r="O89" s="2">
        <f t="shared" si="60"/>
        <v>3125</v>
      </c>
      <c r="P89" s="2">
        <v>0</v>
      </c>
      <c r="Q89" s="2">
        <v>0</v>
      </c>
      <c r="R89" s="2">
        <f t="shared" si="59"/>
        <v>31250</v>
      </c>
    </row>
    <row r="90" spans="1:18" outlineLevel="4" x14ac:dyDescent="0.25">
      <c r="A90" s="1"/>
      <c r="B90" s="1"/>
      <c r="C90" s="1"/>
      <c r="D90" s="1"/>
      <c r="E90" s="99" t="s">
        <v>81</v>
      </c>
      <c r="F90" s="101">
        <f>71838/4</f>
        <v>17959.5</v>
      </c>
      <c r="G90" s="101">
        <f t="shared" ref="G90:Q90" si="61">+F90</f>
        <v>17959.5</v>
      </c>
      <c r="H90" s="101">
        <f t="shared" si="61"/>
        <v>17959.5</v>
      </c>
      <c r="I90" s="101">
        <f t="shared" si="61"/>
        <v>17959.5</v>
      </c>
      <c r="J90" s="101">
        <v>12000</v>
      </c>
      <c r="K90" s="101">
        <f t="shared" si="61"/>
        <v>12000</v>
      </c>
      <c r="L90" s="101">
        <f t="shared" si="61"/>
        <v>12000</v>
      </c>
      <c r="M90" s="101">
        <f t="shared" si="61"/>
        <v>12000</v>
      </c>
      <c r="N90" s="101">
        <f t="shared" si="61"/>
        <v>12000</v>
      </c>
      <c r="O90" s="101">
        <f t="shared" si="61"/>
        <v>12000</v>
      </c>
      <c r="P90" s="101">
        <f t="shared" si="61"/>
        <v>12000</v>
      </c>
      <c r="Q90" s="101">
        <f t="shared" si="61"/>
        <v>12000</v>
      </c>
      <c r="R90" s="101">
        <f t="shared" si="59"/>
        <v>167838</v>
      </c>
    </row>
    <row r="91" spans="1:18" outlineLevel="4" x14ac:dyDescent="0.25">
      <c r="A91" s="1"/>
      <c r="B91" s="1"/>
      <c r="C91" s="1"/>
      <c r="D91" s="1"/>
      <c r="E91" s="1" t="s">
        <v>82</v>
      </c>
      <c r="F91" s="2">
        <f>17526/4</f>
        <v>4381.5</v>
      </c>
      <c r="G91" s="2">
        <f t="shared" ref="G91:Q91" si="62">F91</f>
        <v>4381.5</v>
      </c>
      <c r="H91" s="2">
        <f t="shared" si="62"/>
        <v>4381.5</v>
      </c>
      <c r="I91" s="2">
        <f t="shared" si="62"/>
        <v>4381.5</v>
      </c>
      <c r="J91" s="2">
        <v>4000</v>
      </c>
      <c r="K91" s="2">
        <f t="shared" si="62"/>
        <v>4000</v>
      </c>
      <c r="L91" s="2">
        <f t="shared" si="62"/>
        <v>4000</v>
      </c>
      <c r="M91" s="2">
        <f t="shared" si="62"/>
        <v>4000</v>
      </c>
      <c r="N91" s="2">
        <f t="shared" si="62"/>
        <v>4000</v>
      </c>
      <c r="O91" s="2">
        <f t="shared" si="62"/>
        <v>4000</v>
      </c>
      <c r="P91" s="2">
        <f t="shared" si="62"/>
        <v>4000</v>
      </c>
      <c r="Q91" s="2">
        <f t="shared" si="62"/>
        <v>4000</v>
      </c>
      <c r="R91" s="2">
        <f t="shared" si="59"/>
        <v>49526</v>
      </c>
    </row>
    <row r="92" spans="1:18" outlineLevel="4" x14ac:dyDescent="0.25">
      <c r="A92" s="1"/>
      <c r="B92" s="1"/>
      <c r="C92" s="1"/>
      <c r="D92" s="1"/>
      <c r="E92" s="99" t="s">
        <v>83</v>
      </c>
      <c r="F92" s="101">
        <f>11140/4</f>
        <v>2785</v>
      </c>
      <c r="G92" s="101">
        <f>F92</f>
        <v>2785</v>
      </c>
      <c r="H92" s="101">
        <f t="shared" ref="H92:P92" si="63">G92</f>
        <v>2785</v>
      </c>
      <c r="I92" s="101">
        <f t="shared" si="63"/>
        <v>2785</v>
      </c>
      <c r="J92" s="101">
        <f t="shared" si="63"/>
        <v>2785</v>
      </c>
      <c r="K92" s="101">
        <f t="shared" si="63"/>
        <v>2785</v>
      </c>
      <c r="L92" s="101">
        <f t="shared" si="63"/>
        <v>2785</v>
      </c>
      <c r="M92" s="101">
        <f t="shared" si="63"/>
        <v>2785</v>
      </c>
      <c r="N92" s="101">
        <f t="shared" si="63"/>
        <v>2785</v>
      </c>
      <c r="O92" s="101">
        <f t="shared" si="63"/>
        <v>2785</v>
      </c>
      <c r="P92" s="101">
        <f t="shared" si="63"/>
        <v>2785</v>
      </c>
      <c r="Q92" s="101">
        <v>0</v>
      </c>
      <c r="R92" s="101">
        <f t="shared" si="59"/>
        <v>30635</v>
      </c>
    </row>
    <row r="93" spans="1:18" outlineLevel="4" x14ac:dyDescent="0.25">
      <c r="A93" s="1"/>
      <c r="B93" s="1"/>
      <c r="C93" s="1"/>
      <c r="D93" s="1"/>
      <c r="E93" s="99" t="s">
        <v>282</v>
      </c>
      <c r="F93" s="101">
        <f>3682/4</f>
        <v>920.5</v>
      </c>
      <c r="G93" s="101">
        <f>F93</f>
        <v>920.5</v>
      </c>
      <c r="H93" s="101">
        <f t="shared" ref="H93" si="64">G93</f>
        <v>920.5</v>
      </c>
      <c r="I93" s="101">
        <f t="shared" ref="I93" si="65">H93</f>
        <v>920.5</v>
      </c>
      <c r="J93" s="101">
        <v>1000</v>
      </c>
      <c r="K93" s="101">
        <f t="shared" ref="K93" si="66">J93</f>
        <v>1000</v>
      </c>
      <c r="L93" s="101">
        <f t="shared" ref="L93" si="67">K93</f>
        <v>1000</v>
      </c>
      <c r="M93" s="101">
        <f t="shared" ref="M93" si="68">L93</f>
        <v>1000</v>
      </c>
      <c r="N93" s="101">
        <f t="shared" ref="N93" si="69">M93</f>
        <v>1000</v>
      </c>
      <c r="O93" s="101">
        <f t="shared" ref="O93" si="70">N93</f>
        <v>1000</v>
      </c>
      <c r="P93" s="101">
        <f t="shared" ref="P93" si="71">O93</f>
        <v>1000</v>
      </c>
      <c r="Q93" s="101">
        <v>0</v>
      </c>
      <c r="R93" s="101">
        <f t="shared" ref="R93" si="72">ROUND(SUM(F93:Q93),5)</f>
        <v>10682</v>
      </c>
    </row>
    <row r="94" spans="1:18" ht="15.75" outlineLevel="4" thickBot="1" x14ac:dyDescent="0.3">
      <c r="A94" s="1"/>
      <c r="B94" s="1"/>
      <c r="C94" s="1"/>
      <c r="D94" s="1"/>
      <c r="E94" s="1" t="s">
        <v>84</v>
      </c>
      <c r="F94" s="3">
        <f>1306.35/4</f>
        <v>326.58749999999998</v>
      </c>
      <c r="G94" s="3">
        <f>F94</f>
        <v>326.58749999999998</v>
      </c>
      <c r="H94" s="3">
        <f>G94</f>
        <v>326.58749999999998</v>
      </c>
      <c r="I94" s="3">
        <f>H94</f>
        <v>326.58749999999998</v>
      </c>
      <c r="J94" s="3">
        <v>200</v>
      </c>
      <c r="K94" s="3">
        <f>J94</f>
        <v>200</v>
      </c>
      <c r="L94" s="3">
        <f>K94</f>
        <v>200</v>
      </c>
      <c r="M94" s="3">
        <f>L94</f>
        <v>200</v>
      </c>
      <c r="N94" s="3">
        <v>500</v>
      </c>
      <c r="O94" s="3">
        <v>0</v>
      </c>
      <c r="P94" s="3">
        <v>0</v>
      </c>
      <c r="Q94" s="3">
        <v>200</v>
      </c>
      <c r="R94" s="3">
        <f t="shared" si="59"/>
        <v>2806.35</v>
      </c>
    </row>
    <row r="95" spans="1:18" outlineLevel="3" x14ac:dyDescent="0.25">
      <c r="A95" s="1"/>
      <c r="B95" s="1"/>
      <c r="C95" s="1"/>
      <c r="D95" s="1" t="s">
        <v>85</v>
      </c>
      <c r="E95" s="1"/>
      <c r="F95" s="2">
        <f t="shared" ref="F95:Q95" si="73">ROUND(SUM(F87:F94),5)</f>
        <v>30348.087500000001</v>
      </c>
      <c r="G95" s="2">
        <f t="shared" si="73"/>
        <v>30348.087500000001</v>
      </c>
      <c r="H95" s="2">
        <f t="shared" si="73"/>
        <v>30348.087500000001</v>
      </c>
      <c r="I95" s="2">
        <f t="shared" si="73"/>
        <v>30348.087500000001</v>
      </c>
      <c r="J95" s="2">
        <f t="shared" si="73"/>
        <v>23960</v>
      </c>
      <c r="K95" s="2">
        <f t="shared" si="73"/>
        <v>23960</v>
      </c>
      <c r="L95" s="2">
        <f t="shared" si="73"/>
        <v>23960</v>
      </c>
      <c r="M95" s="2">
        <f t="shared" si="73"/>
        <v>23960</v>
      </c>
      <c r="N95" s="2">
        <f t="shared" si="73"/>
        <v>24260</v>
      </c>
      <c r="O95" s="2">
        <f t="shared" si="73"/>
        <v>23760</v>
      </c>
      <c r="P95" s="2">
        <f t="shared" si="73"/>
        <v>20635</v>
      </c>
      <c r="Q95" s="2">
        <f t="shared" si="73"/>
        <v>17050</v>
      </c>
      <c r="R95" s="2">
        <f t="shared" si="59"/>
        <v>302937.34999999998</v>
      </c>
    </row>
    <row r="96" spans="1:18" outlineLevel="4" x14ac:dyDescent="0.25">
      <c r="A96" s="1"/>
      <c r="B96" s="1"/>
      <c r="C96" s="1"/>
      <c r="D96" s="1" t="s">
        <v>86</v>
      </c>
      <c r="E96" s="1"/>
      <c r="F96" s="2"/>
      <c r="G96" s="2"/>
      <c r="H96" s="2"/>
      <c r="I96" s="2"/>
      <c r="J96" s="2"/>
      <c r="K96" s="2"/>
      <c r="L96" s="2"/>
      <c r="M96" s="2"/>
      <c r="N96" s="2"/>
      <c r="O96" s="2"/>
      <c r="P96" s="2"/>
      <c r="Q96" s="2"/>
      <c r="R96" s="2"/>
    </row>
    <row r="97" spans="1:18" outlineLevel="4" x14ac:dyDescent="0.25">
      <c r="A97" s="1"/>
      <c r="B97" s="1"/>
      <c r="C97" s="1"/>
      <c r="D97" s="1"/>
      <c r="E97" s="1" t="s">
        <v>87</v>
      </c>
      <c r="F97" s="2">
        <v>0</v>
      </c>
      <c r="G97" s="2">
        <f t="shared" ref="G97:Q97" si="74">F97</f>
        <v>0</v>
      </c>
      <c r="H97" s="2">
        <f t="shared" si="74"/>
        <v>0</v>
      </c>
      <c r="I97" s="2">
        <v>1420</v>
      </c>
      <c r="J97" s="2">
        <v>400</v>
      </c>
      <c r="K97" s="2">
        <f t="shared" si="74"/>
        <v>400</v>
      </c>
      <c r="L97" s="2">
        <f t="shared" si="74"/>
        <v>400</v>
      </c>
      <c r="M97" s="2">
        <f t="shared" si="74"/>
        <v>400</v>
      </c>
      <c r="N97" s="2">
        <f t="shared" si="74"/>
        <v>400</v>
      </c>
      <c r="O97" s="2">
        <f t="shared" si="74"/>
        <v>400</v>
      </c>
      <c r="P97" s="2">
        <f t="shared" si="74"/>
        <v>400</v>
      </c>
      <c r="Q97" s="2">
        <f t="shared" si="74"/>
        <v>400</v>
      </c>
      <c r="R97" s="2">
        <f>ROUND(SUM(F97:Q97),5)</f>
        <v>4620</v>
      </c>
    </row>
    <row r="98" spans="1:18" ht="15.75" outlineLevel="4" thickBot="1" x14ac:dyDescent="0.3">
      <c r="A98" s="1"/>
      <c r="B98" s="1"/>
      <c r="C98" s="1"/>
      <c r="D98" s="1"/>
      <c r="E98" s="1" t="s">
        <v>88</v>
      </c>
      <c r="F98" s="4">
        <v>0</v>
      </c>
      <c r="G98" s="4">
        <v>4000</v>
      </c>
      <c r="H98" s="4">
        <v>2000</v>
      </c>
      <c r="I98" s="4">
        <v>5412</v>
      </c>
      <c r="J98" s="4">
        <v>0</v>
      </c>
      <c r="K98" s="4">
        <v>2000</v>
      </c>
      <c r="L98" s="4">
        <v>1000</v>
      </c>
      <c r="M98" s="4">
        <v>1500</v>
      </c>
      <c r="N98" s="4">
        <v>0</v>
      </c>
      <c r="O98" s="4">
        <v>1500</v>
      </c>
      <c r="P98" s="4">
        <v>1000</v>
      </c>
      <c r="Q98" s="4">
        <v>2000</v>
      </c>
      <c r="R98" s="4">
        <f>ROUND(SUM(F98:Q98),5)</f>
        <v>20412</v>
      </c>
    </row>
    <row r="99" spans="1:18" ht="15.75" outlineLevel="3" thickBot="1" x14ac:dyDescent="0.3">
      <c r="A99" s="1"/>
      <c r="B99" s="1"/>
      <c r="C99" s="1"/>
      <c r="D99" s="1" t="s">
        <v>89</v>
      </c>
      <c r="E99" s="1"/>
      <c r="F99" s="5">
        <f t="shared" ref="F99:Q99" si="75">ROUND(SUM(F96:F98),5)</f>
        <v>0</v>
      </c>
      <c r="G99" s="5">
        <f t="shared" si="75"/>
        <v>4000</v>
      </c>
      <c r="H99" s="5">
        <f t="shared" si="75"/>
        <v>2000</v>
      </c>
      <c r="I99" s="5">
        <f t="shared" si="75"/>
        <v>6832</v>
      </c>
      <c r="J99" s="5">
        <f t="shared" si="75"/>
        <v>400</v>
      </c>
      <c r="K99" s="5">
        <f t="shared" si="75"/>
        <v>2400</v>
      </c>
      <c r="L99" s="5">
        <f t="shared" si="75"/>
        <v>1400</v>
      </c>
      <c r="M99" s="5">
        <f t="shared" si="75"/>
        <v>1900</v>
      </c>
      <c r="N99" s="5">
        <f t="shared" si="75"/>
        <v>400</v>
      </c>
      <c r="O99" s="5">
        <f t="shared" si="75"/>
        <v>1900</v>
      </c>
      <c r="P99" s="5">
        <f t="shared" si="75"/>
        <v>1400</v>
      </c>
      <c r="Q99" s="5">
        <f t="shared" si="75"/>
        <v>2400</v>
      </c>
      <c r="R99" s="5">
        <f>ROUND(SUM(F99:Q99),5)</f>
        <v>25032</v>
      </c>
    </row>
    <row r="100" spans="1:18" outlineLevel="2" x14ac:dyDescent="0.25">
      <c r="A100" s="1"/>
      <c r="B100" s="1"/>
      <c r="C100" s="1" t="s">
        <v>90</v>
      </c>
      <c r="D100" s="1"/>
      <c r="E100" s="1"/>
      <c r="F100" s="2">
        <f t="shared" ref="F100:Q100" si="76">ROUND(F41+F51+SUM(F58:F58)+F61+F64+F67+F80+F83+F86+F95+F99,5)</f>
        <v>90396.131240000002</v>
      </c>
      <c r="G100" s="2">
        <f t="shared" si="76"/>
        <v>120010.14943</v>
      </c>
      <c r="H100" s="2">
        <f t="shared" si="76"/>
        <v>102114.14943</v>
      </c>
      <c r="I100" s="2">
        <f t="shared" si="76"/>
        <v>134518.47943000001</v>
      </c>
      <c r="J100" s="2">
        <f t="shared" si="76"/>
        <v>95801.061929999996</v>
      </c>
      <c r="K100" s="2">
        <f t="shared" si="76"/>
        <v>99176.061929999996</v>
      </c>
      <c r="L100" s="2">
        <f t="shared" si="76"/>
        <v>97651.061929999996</v>
      </c>
      <c r="M100" s="2">
        <f t="shared" si="76"/>
        <v>103801.06193</v>
      </c>
      <c r="N100" s="2">
        <f t="shared" si="76"/>
        <v>96476.061929999996</v>
      </c>
      <c r="O100" s="2">
        <f t="shared" si="76"/>
        <v>98826.061929999996</v>
      </c>
      <c r="P100" s="2">
        <f t="shared" si="76"/>
        <v>93451.061929999996</v>
      </c>
      <c r="Q100" s="2">
        <f t="shared" si="76"/>
        <v>83666.061929999996</v>
      </c>
      <c r="R100" s="2">
        <f>ROUND(SUM(F100:Q100),5)</f>
        <v>1215887.40497</v>
      </c>
    </row>
    <row r="101" spans="1:18" outlineLevel="3" x14ac:dyDescent="0.25">
      <c r="A101" s="1"/>
      <c r="B101" s="1"/>
      <c r="C101" s="1" t="s">
        <v>91</v>
      </c>
      <c r="D101" s="1"/>
      <c r="E101" s="1"/>
      <c r="F101" s="2"/>
      <c r="G101" s="2"/>
      <c r="H101" s="2"/>
      <c r="I101" s="2"/>
      <c r="J101" s="2"/>
      <c r="K101" s="2"/>
      <c r="L101" s="2"/>
      <c r="M101" s="2"/>
      <c r="N101" s="2"/>
      <c r="O101" s="2"/>
      <c r="P101" s="2"/>
      <c r="Q101" s="2"/>
      <c r="R101" s="2"/>
    </row>
    <row r="102" spans="1:18" outlineLevel="4" x14ac:dyDescent="0.25">
      <c r="A102" s="1"/>
      <c r="B102" s="1"/>
      <c r="C102" s="1"/>
      <c r="D102" s="1" t="s">
        <v>92</v>
      </c>
      <c r="E102" s="1"/>
      <c r="F102" s="2"/>
      <c r="G102" s="2"/>
      <c r="H102" s="2"/>
      <c r="I102" s="2"/>
      <c r="J102" s="2"/>
      <c r="K102" s="2"/>
      <c r="L102" s="2"/>
      <c r="M102" s="2"/>
      <c r="N102" s="2"/>
      <c r="O102" s="2"/>
      <c r="P102" s="2"/>
      <c r="Q102" s="2"/>
      <c r="R102" s="2"/>
    </row>
    <row r="103" spans="1:18" ht="15.75" outlineLevel="4" thickBot="1" x14ac:dyDescent="0.3">
      <c r="A103" s="1"/>
      <c r="B103" s="1"/>
      <c r="C103" s="1"/>
      <c r="D103" s="1"/>
      <c r="E103" s="1" t="s">
        <v>93</v>
      </c>
      <c r="F103" s="4">
        <v>0</v>
      </c>
      <c r="G103" s="4">
        <f>+G27</f>
        <v>6000</v>
      </c>
      <c r="H103" s="4">
        <f t="shared" ref="H103:P103" si="77">+H27</f>
        <v>6000</v>
      </c>
      <c r="I103" s="4">
        <f t="shared" si="77"/>
        <v>6000</v>
      </c>
      <c r="J103" s="4">
        <f t="shared" si="77"/>
        <v>6000</v>
      </c>
      <c r="K103" s="4">
        <f t="shared" si="77"/>
        <v>6000</v>
      </c>
      <c r="L103" s="4">
        <f t="shared" si="77"/>
        <v>6000</v>
      </c>
      <c r="M103" s="4">
        <f t="shared" si="77"/>
        <v>6000</v>
      </c>
      <c r="N103" s="4">
        <f t="shared" si="77"/>
        <v>6000</v>
      </c>
      <c r="O103" s="4">
        <f t="shared" si="77"/>
        <v>6000</v>
      </c>
      <c r="P103" s="4">
        <f t="shared" si="77"/>
        <v>6000</v>
      </c>
      <c r="Q103" s="4">
        <v>0</v>
      </c>
      <c r="R103" s="4">
        <f>ROUND(SUM(F103:Q103),5)</f>
        <v>60000</v>
      </c>
    </row>
    <row r="104" spans="1:18" ht="15.75" outlineLevel="3" thickBot="1" x14ac:dyDescent="0.3">
      <c r="A104" s="1"/>
      <c r="B104" s="1"/>
      <c r="C104" s="1"/>
      <c r="D104" s="1" t="s">
        <v>94</v>
      </c>
      <c r="E104" s="1"/>
      <c r="F104" s="6">
        <f t="shared" ref="F104:Q104" si="78">ROUND(SUM(F102:F103),5)</f>
        <v>0</v>
      </c>
      <c r="G104" s="6">
        <f t="shared" si="78"/>
        <v>6000</v>
      </c>
      <c r="H104" s="6">
        <f t="shared" si="78"/>
        <v>6000</v>
      </c>
      <c r="I104" s="6">
        <f t="shared" si="78"/>
        <v>6000</v>
      </c>
      <c r="J104" s="6">
        <f t="shared" si="78"/>
        <v>6000</v>
      </c>
      <c r="K104" s="6">
        <f t="shared" si="78"/>
        <v>6000</v>
      </c>
      <c r="L104" s="6">
        <f t="shared" si="78"/>
        <v>6000</v>
      </c>
      <c r="M104" s="6">
        <f t="shared" si="78"/>
        <v>6000</v>
      </c>
      <c r="N104" s="6">
        <f t="shared" si="78"/>
        <v>6000</v>
      </c>
      <c r="O104" s="6">
        <f t="shared" si="78"/>
        <v>6000</v>
      </c>
      <c r="P104" s="6">
        <f t="shared" si="78"/>
        <v>6000</v>
      </c>
      <c r="Q104" s="6">
        <f t="shared" si="78"/>
        <v>0</v>
      </c>
      <c r="R104" s="6">
        <f>ROUND(SUM(F104:Q104),5)</f>
        <v>60000</v>
      </c>
    </row>
    <row r="105" spans="1:18" ht="15.75" outlineLevel="2" thickBot="1" x14ac:dyDescent="0.3">
      <c r="A105" s="1"/>
      <c r="B105" s="1"/>
      <c r="C105" s="1" t="s">
        <v>95</v>
      </c>
      <c r="D105" s="1"/>
      <c r="E105" s="1"/>
      <c r="F105" s="6">
        <f t="shared" ref="F105:Q105" si="79">ROUND(F101+F104,5)</f>
        <v>0</v>
      </c>
      <c r="G105" s="6">
        <f t="shared" si="79"/>
        <v>6000</v>
      </c>
      <c r="H105" s="6">
        <f t="shared" si="79"/>
        <v>6000</v>
      </c>
      <c r="I105" s="6">
        <f t="shared" si="79"/>
        <v>6000</v>
      </c>
      <c r="J105" s="6">
        <f t="shared" si="79"/>
        <v>6000</v>
      </c>
      <c r="K105" s="6">
        <f t="shared" si="79"/>
        <v>6000</v>
      </c>
      <c r="L105" s="6">
        <f t="shared" si="79"/>
        <v>6000</v>
      </c>
      <c r="M105" s="6">
        <f t="shared" si="79"/>
        <v>6000</v>
      </c>
      <c r="N105" s="6">
        <f t="shared" si="79"/>
        <v>6000</v>
      </c>
      <c r="O105" s="6">
        <f t="shared" si="79"/>
        <v>6000</v>
      </c>
      <c r="P105" s="6">
        <f t="shared" si="79"/>
        <v>6000</v>
      </c>
      <c r="Q105" s="6">
        <f t="shared" si="79"/>
        <v>0</v>
      </c>
      <c r="R105" s="6">
        <f>ROUND(SUM(F105:Q105),5)</f>
        <v>60000</v>
      </c>
    </row>
    <row r="106" spans="1:18" ht="15.75" outlineLevel="1" thickBot="1" x14ac:dyDescent="0.3">
      <c r="A106" s="1"/>
      <c r="B106" s="1" t="s">
        <v>96</v>
      </c>
      <c r="C106" s="1"/>
      <c r="D106" s="1"/>
      <c r="E106" s="1"/>
      <c r="F106" s="6">
        <f t="shared" ref="F106:Q106" si="80">ROUND(F40+F100+F105,5)</f>
        <v>90396.131240000002</v>
      </c>
      <c r="G106" s="6">
        <f t="shared" si="80"/>
        <v>126010.14943</v>
      </c>
      <c r="H106" s="6">
        <f t="shared" si="80"/>
        <v>108114.14943</v>
      </c>
      <c r="I106" s="6">
        <f t="shared" si="80"/>
        <v>140518.47943000001</v>
      </c>
      <c r="J106" s="6">
        <f t="shared" si="80"/>
        <v>101801.06193</v>
      </c>
      <c r="K106" s="6">
        <f t="shared" si="80"/>
        <v>105176.06193</v>
      </c>
      <c r="L106" s="6">
        <f t="shared" si="80"/>
        <v>103651.06193</v>
      </c>
      <c r="M106" s="6">
        <f t="shared" si="80"/>
        <v>109801.06193</v>
      </c>
      <c r="N106" s="6">
        <f t="shared" si="80"/>
        <v>102476.06193</v>
      </c>
      <c r="O106" s="6">
        <f t="shared" si="80"/>
        <v>104826.06193</v>
      </c>
      <c r="P106" s="6">
        <f t="shared" si="80"/>
        <v>99451.061929999996</v>
      </c>
      <c r="Q106" s="6">
        <f t="shared" si="80"/>
        <v>83666.061929999996</v>
      </c>
      <c r="R106" s="6">
        <f>ROUND(SUM(F106:Q106),5)</f>
        <v>1275887.40497</v>
      </c>
    </row>
    <row r="107" spans="1:18" s="8" customFormat="1" ht="12" thickBot="1" x14ac:dyDescent="0.25">
      <c r="A107" s="1" t="s">
        <v>97</v>
      </c>
      <c r="B107" s="1"/>
      <c r="C107" s="1"/>
      <c r="D107" s="1"/>
      <c r="E107" s="1"/>
      <c r="F107" s="7">
        <f t="shared" ref="F107:Q107" si="81">ROUND(F39-F106,5)</f>
        <v>19028.53543</v>
      </c>
      <c r="G107" s="7">
        <f t="shared" si="81"/>
        <v>-79225.482759999999</v>
      </c>
      <c r="H107" s="7">
        <f t="shared" si="81"/>
        <v>-14689.482760000001</v>
      </c>
      <c r="I107" s="7">
        <f t="shared" si="81"/>
        <v>-65093.812760000001</v>
      </c>
      <c r="J107" s="7">
        <f t="shared" si="81"/>
        <v>27060.275989999998</v>
      </c>
      <c r="K107" s="7">
        <f t="shared" si="81"/>
        <v>-32314.724010000002</v>
      </c>
      <c r="L107" s="7">
        <f t="shared" si="81"/>
        <v>-30789.724010000002</v>
      </c>
      <c r="M107" s="7">
        <f t="shared" si="81"/>
        <v>-36939.724009999998</v>
      </c>
      <c r="N107" s="7">
        <f t="shared" si="81"/>
        <v>-29614.724010000002</v>
      </c>
      <c r="O107" s="7">
        <f t="shared" si="81"/>
        <v>-31964.724010000002</v>
      </c>
      <c r="P107" s="7">
        <f t="shared" si="81"/>
        <v>-26589.724010000002</v>
      </c>
      <c r="Q107" s="7">
        <f t="shared" si="81"/>
        <v>-16804.724010000002</v>
      </c>
      <c r="R107" s="7">
        <f>ROUND(SUM(F107:Q107),5)</f>
        <v>-317938.03493000002</v>
      </c>
    </row>
    <row r="108" spans="1:18" ht="15.75" thickTop="1" x14ac:dyDescent="0.25"/>
  </sheetData>
  <pageMargins left="0.7" right="0.7" top="0.75" bottom="0.75" header="0.1" footer="0.3"/>
  <pageSetup scale="75" orientation="landscape" horizontalDpi="360" verticalDpi="360" r:id="rId1"/>
  <headerFooter>
    <oddHeader>&amp;C&amp;"Arial,Bold"&amp;12 Collaboratory School Inc
&amp;14 Profit &amp;&amp; Loss Budget
&amp;10 July 2022 through June 2023</oddHeader>
    <oddFooter>&amp;R&amp;"Arial,Bold"&amp;8 Page &amp;P of &amp;N</oddFooter>
  </headerFooter>
  <drawing r:id="rId2"/>
  <legacyDrawing r:id="rId3"/>
  <controls>
    <mc:AlternateContent xmlns:mc="http://schemas.openxmlformats.org/markup-compatibility/2006">
      <mc:Choice Requires="x14">
        <control shapeId="1026" r:id="rId4" name="HEADER">
          <controlPr defaultSize="0" autoLine="0" r:id="rId5">
            <anchor moveWithCells="1">
              <from>
                <xdr:col>0</xdr:col>
                <xdr:colOff>0</xdr:colOff>
                <xdr:row>0</xdr:row>
                <xdr:rowOff>0</xdr:rowOff>
              </from>
              <to>
                <xdr:col>4</xdr:col>
                <xdr:colOff>114300</xdr:colOff>
                <xdr:row>1</xdr:row>
                <xdr:rowOff>28575</xdr:rowOff>
              </to>
            </anchor>
          </controlPr>
        </control>
      </mc:Choice>
      <mc:Fallback>
        <control shapeId="1026" r:id="rId4" name="HEADER"/>
      </mc:Fallback>
    </mc:AlternateContent>
    <mc:AlternateContent xmlns:mc="http://schemas.openxmlformats.org/markup-compatibility/2006">
      <mc:Choice Requires="x14">
        <control shapeId="1025" r:id="rId6" name="FILTER">
          <controlPr defaultSize="0" autoLine="0" r:id="rId7">
            <anchor moveWithCells="1">
              <from>
                <xdr:col>0</xdr:col>
                <xdr:colOff>0</xdr:colOff>
                <xdr:row>0</xdr:row>
                <xdr:rowOff>0</xdr:rowOff>
              </from>
              <to>
                <xdr:col>4</xdr:col>
                <xdr:colOff>114300</xdr:colOff>
                <xdr:row>1</xdr:row>
                <xdr:rowOff>28575</xdr:rowOff>
              </to>
            </anchor>
          </controlPr>
        </control>
      </mc:Choice>
      <mc:Fallback>
        <control shapeId="1025" r:id="rId6" name="FILTER"/>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5"/>
  <sheetViews>
    <sheetView topLeftCell="A56" workbookViewId="0">
      <selection activeCell="E56" sqref="E56"/>
    </sheetView>
  </sheetViews>
  <sheetFormatPr defaultRowHeight="15" x14ac:dyDescent="0.25"/>
  <cols>
    <col min="1" max="1" width="10.28515625" customWidth="1"/>
    <col min="2" max="2" width="34.28515625" customWidth="1"/>
    <col min="3" max="3" width="16.42578125" customWidth="1"/>
    <col min="4" max="4" width="6.7109375" customWidth="1"/>
    <col min="5" max="5" width="14.5703125" customWidth="1"/>
    <col min="6" max="6" width="11" customWidth="1"/>
    <col min="7" max="7" width="15.42578125" customWidth="1"/>
    <col min="8" max="8" width="23.7109375" bestFit="1" customWidth="1"/>
    <col min="9" max="9" width="29.140625" bestFit="1" customWidth="1"/>
    <col min="10" max="10" width="22.85546875" customWidth="1"/>
  </cols>
  <sheetData>
    <row r="1" spans="1:9" ht="16.5" thickBot="1" x14ac:dyDescent="0.3">
      <c r="A1" s="14">
        <v>29</v>
      </c>
      <c r="B1" s="113" t="s">
        <v>98</v>
      </c>
      <c r="C1" s="114"/>
      <c r="D1" s="115"/>
      <c r="E1" s="115"/>
      <c r="F1" s="115"/>
      <c r="G1" s="115"/>
      <c r="H1" s="115"/>
      <c r="I1" s="15"/>
    </row>
    <row r="2" spans="1:9" ht="20.25" x14ac:dyDescent="0.3">
      <c r="A2" s="116" t="s">
        <v>99</v>
      </c>
      <c r="B2" s="116"/>
      <c r="C2" s="116"/>
      <c r="D2" s="116"/>
      <c r="E2" s="116"/>
      <c r="F2" s="116"/>
      <c r="G2" s="116"/>
      <c r="H2" s="116"/>
      <c r="I2" s="16"/>
    </row>
    <row r="3" spans="1:9" ht="18.75" x14ac:dyDescent="0.3">
      <c r="A3" s="117" t="s">
        <v>242</v>
      </c>
      <c r="B3" s="117"/>
      <c r="C3" s="117"/>
      <c r="D3" s="117"/>
      <c r="E3" s="117"/>
      <c r="F3" s="117"/>
      <c r="G3" s="117"/>
      <c r="H3" s="117"/>
      <c r="I3" s="17"/>
    </row>
    <row r="4" spans="1:9" ht="15.75" x14ac:dyDescent="0.25">
      <c r="A4" s="118" t="s">
        <v>100</v>
      </c>
      <c r="B4" s="118"/>
      <c r="C4" s="119" t="s">
        <v>264</v>
      </c>
      <c r="D4" s="119"/>
      <c r="E4" s="18"/>
      <c r="F4" s="18"/>
      <c r="G4" s="18"/>
      <c r="H4" s="18"/>
      <c r="I4" s="19"/>
    </row>
    <row r="5" spans="1:9" ht="15.75" x14ac:dyDescent="0.25">
      <c r="A5" s="120" t="s">
        <v>101</v>
      </c>
      <c r="B5" s="120"/>
      <c r="C5" s="120"/>
      <c r="D5" s="120"/>
      <c r="E5" s="120"/>
      <c r="F5" s="120"/>
      <c r="G5" s="120"/>
      <c r="H5" s="120"/>
      <c r="I5" s="20"/>
    </row>
    <row r="6" spans="1:9" ht="15.75" x14ac:dyDescent="0.25">
      <c r="A6" s="105" t="s">
        <v>102</v>
      </c>
      <c r="B6" s="105"/>
      <c r="C6" s="106">
        <v>5139.7299999999996</v>
      </c>
      <c r="D6" s="106"/>
      <c r="E6" s="107" t="s">
        <v>103</v>
      </c>
      <c r="F6" s="107"/>
      <c r="G6" s="108">
        <v>1.0098</v>
      </c>
      <c r="H6" s="108"/>
      <c r="I6" s="15"/>
    </row>
    <row r="7" spans="1:9" ht="15.75" x14ac:dyDescent="0.25">
      <c r="A7" s="21"/>
      <c r="B7" s="21"/>
      <c r="C7" s="22"/>
      <c r="D7" s="22"/>
      <c r="E7" s="23"/>
      <c r="F7" s="23"/>
      <c r="G7" s="24"/>
      <c r="H7" s="25" t="s">
        <v>104</v>
      </c>
      <c r="I7" s="15"/>
    </row>
    <row r="8" spans="1:9" ht="15.75" x14ac:dyDescent="0.25">
      <c r="A8" s="21"/>
      <c r="B8" s="21"/>
      <c r="C8" s="22"/>
      <c r="D8" s="22"/>
      <c r="E8" s="109" t="s">
        <v>105</v>
      </c>
      <c r="F8" s="109"/>
      <c r="G8" s="24" t="s">
        <v>106</v>
      </c>
      <c r="H8" s="25" t="s">
        <v>107</v>
      </c>
      <c r="I8" s="15"/>
    </row>
    <row r="9" spans="1:9" ht="15.75" x14ac:dyDescent="0.25">
      <c r="A9" s="110" t="s">
        <v>105</v>
      </c>
      <c r="B9" s="110"/>
      <c r="C9" s="111" t="s">
        <v>108</v>
      </c>
      <c r="D9" s="111"/>
      <c r="E9" s="112" t="s">
        <v>109</v>
      </c>
      <c r="F9" s="112"/>
      <c r="G9" s="26" t="s">
        <v>110</v>
      </c>
      <c r="H9" s="27" t="s">
        <v>111</v>
      </c>
      <c r="I9" s="15"/>
    </row>
    <row r="10" spans="1:9" ht="15.75" x14ac:dyDescent="0.25">
      <c r="A10" s="124" t="s">
        <v>112</v>
      </c>
      <c r="B10" s="124"/>
      <c r="C10" s="125" t="s">
        <v>113</v>
      </c>
      <c r="D10" s="125"/>
      <c r="E10" s="126" t="s">
        <v>114</v>
      </c>
      <c r="F10" s="126"/>
      <c r="G10" s="28" t="s">
        <v>115</v>
      </c>
      <c r="H10" s="29" t="s">
        <v>116</v>
      </c>
      <c r="I10" s="15"/>
    </row>
    <row r="11" spans="1:9" ht="15.75" x14ac:dyDescent="0.25">
      <c r="A11" s="127" t="s">
        <v>117</v>
      </c>
      <c r="B11" s="127"/>
      <c r="C11" s="122">
        <v>25</v>
      </c>
      <c r="D11" s="122"/>
      <c r="E11" s="128">
        <v>1.1220000000000001</v>
      </c>
      <c r="F11" s="128"/>
      <c r="G11" s="30">
        <f>ROUND(C11*E11,4)</f>
        <v>28.05</v>
      </c>
      <c r="H11" s="31">
        <f t="shared" ref="H11:H26" si="0">ROUND(ROUND(G11*$C$6,4)*($G$6),0)</f>
        <v>145582</v>
      </c>
      <c r="I11" s="15"/>
    </row>
    <row r="12" spans="1:9" ht="15.75" x14ac:dyDescent="0.25">
      <c r="A12" s="121" t="s">
        <v>118</v>
      </c>
      <c r="B12" s="121"/>
      <c r="C12" s="122">
        <v>3</v>
      </c>
      <c r="D12" s="122"/>
      <c r="E12" s="123">
        <v>1.1220000000000001</v>
      </c>
      <c r="F12" s="123"/>
      <c r="G12" s="30">
        <f t="shared" ref="G12:G26" si="1">ROUND(C12*E12,4)</f>
        <v>3.3660000000000001</v>
      </c>
      <c r="H12" s="31">
        <f t="shared" si="0"/>
        <v>17470</v>
      </c>
      <c r="I12" s="15"/>
    </row>
    <row r="13" spans="1:9" ht="15.75" x14ac:dyDescent="0.25">
      <c r="A13" s="121" t="s">
        <v>119</v>
      </c>
      <c r="B13" s="121"/>
      <c r="C13" s="122">
        <v>17</v>
      </c>
      <c r="D13" s="122"/>
      <c r="E13" s="123">
        <v>1</v>
      </c>
      <c r="F13" s="123"/>
      <c r="G13" s="30">
        <f t="shared" si="1"/>
        <v>17</v>
      </c>
      <c r="H13" s="31">
        <f t="shared" si="0"/>
        <v>88232</v>
      </c>
      <c r="I13" s="15"/>
    </row>
    <row r="14" spans="1:9" ht="15.75" x14ac:dyDescent="0.25">
      <c r="A14" s="121" t="s">
        <v>120</v>
      </c>
      <c r="B14" s="121"/>
      <c r="C14" s="122">
        <v>6</v>
      </c>
      <c r="D14" s="122"/>
      <c r="E14" s="123">
        <v>1</v>
      </c>
      <c r="F14" s="123"/>
      <c r="G14" s="30">
        <f t="shared" si="1"/>
        <v>6</v>
      </c>
      <c r="H14" s="31">
        <f t="shared" si="0"/>
        <v>31141</v>
      </c>
      <c r="I14" s="15"/>
    </row>
    <row r="15" spans="1:9" ht="15.75" x14ac:dyDescent="0.25">
      <c r="A15" s="121" t="s">
        <v>121</v>
      </c>
      <c r="B15" s="121"/>
      <c r="C15" s="122"/>
      <c r="D15" s="122"/>
      <c r="E15" s="123">
        <v>0.999</v>
      </c>
      <c r="F15" s="123"/>
      <c r="G15" s="30">
        <f t="shared" si="1"/>
        <v>0</v>
      </c>
      <c r="H15" s="31">
        <f t="shared" si="0"/>
        <v>0</v>
      </c>
      <c r="I15" s="15"/>
    </row>
    <row r="16" spans="1:9" ht="15.75" x14ac:dyDescent="0.25">
      <c r="A16" s="121" t="s">
        <v>122</v>
      </c>
      <c r="B16" s="121"/>
      <c r="C16" s="122"/>
      <c r="D16" s="122"/>
      <c r="E16" s="123">
        <v>0.999</v>
      </c>
      <c r="F16" s="123"/>
      <c r="G16" s="30">
        <f t="shared" si="1"/>
        <v>0</v>
      </c>
      <c r="H16" s="32">
        <f t="shared" si="0"/>
        <v>0</v>
      </c>
      <c r="I16" s="15"/>
    </row>
    <row r="17" spans="1:9" ht="15.75" x14ac:dyDescent="0.25">
      <c r="A17" s="121" t="s">
        <v>123</v>
      </c>
      <c r="B17" s="121"/>
      <c r="C17" s="122"/>
      <c r="D17" s="122"/>
      <c r="E17" s="123">
        <v>3.6739999999999999</v>
      </c>
      <c r="F17" s="123"/>
      <c r="G17" s="30">
        <f t="shared" si="1"/>
        <v>0</v>
      </c>
      <c r="H17" s="31">
        <f t="shared" si="0"/>
        <v>0</v>
      </c>
      <c r="I17" s="15"/>
    </row>
    <row r="18" spans="1:9" ht="15.75" x14ac:dyDescent="0.25">
      <c r="A18" s="121" t="s">
        <v>124</v>
      </c>
      <c r="B18" s="121"/>
      <c r="C18" s="122"/>
      <c r="D18" s="122"/>
      <c r="E18" s="123">
        <v>3.6739999999999999</v>
      </c>
      <c r="F18" s="123"/>
      <c r="G18" s="30">
        <f t="shared" si="1"/>
        <v>0</v>
      </c>
      <c r="H18" s="31">
        <f t="shared" si="0"/>
        <v>0</v>
      </c>
      <c r="I18" s="15"/>
    </row>
    <row r="19" spans="1:9" ht="15.75" x14ac:dyDescent="0.25">
      <c r="A19" s="121" t="s">
        <v>125</v>
      </c>
      <c r="B19" s="121"/>
      <c r="C19" s="122"/>
      <c r="D19" s="122"/>
      <c r="E19" s="123">
        <v>3.6739999999999999</v>
      </c>
      <c r="F19" s="123"/>
      <c r="G19" s="30">
        <f t="shared" si="1"/>
        <v>0</v>
      </c>
      <c r="H19" s="31">
        <f t="shared" si="0"/>
        <v>0</v>
      </c>
      <c r="I19" s="15"/>
    </row>
    <row r="20" spans="1:9" ht="15.75" x14ac:dyDescent="0.25">
      <c r="A20" s="121" t="s">
        <v>126</v>
      </c>
      <c r="B20" s="121"/>
      <c r="C20" s="122"/>
      <c r="D20" s="122"/>
      <c r="E20" s="123">
        <v>5.34</v>
      </c>
      <c r="F20" s="123"/>
      <c r="G20" s="30">
        <f t="shared" si="1"/>
        <v>0</v>
      </c>
      <c r="H20" s="31">
        <f t="shared" si="0"/>
        <v>0</v>
      </c>
      <c r="I20" s="15"/>
    </row>
    <row r="21" spans="1:9" ht="15.75" x14ac:dyDescent="0.25">
      <c r="A21" s="121" t="s">
        <v>127</v>
      </c>
      <c r="B21" s="121"/>
      <c r="C21" s="122"/>
      <c r="D21" s="122"/>
      <c r="E21" s="123">
        <v>5.34</v>
      </c>
      <c r="F21" s="123"/>
      <c r="G21" s="30">
        <f t="shared" si="1"/>
        <v>0</v>
      </c>
      <c r="H21" s="31">
        <f t="shared" si="0"/>
        <v>0</v>
      </c>
      <c r="I21" s="15"/>
    </row>
    <row r="22" spans="1:9" ht="15.75" x14ac:dyDescent="0.25">
      <c r="A22" s="121" t="s">
        <v>128</v>
      </c>
      <c r="B22" s="121"/>
      <c r="C22" s="122"/>
      <c r="D22" s="122"/>
      <c r="E22" s="123">
        <v>5.34</v>
      </c>
      <c r="F22" s="123"/>
      <c r="G22" s="30">
        <f t="shared" si="1"/>
        <v>0</v>
      </c>
      <c r="H22" s="31">
        <f t="shared" si="0"/>
        <v>0</v>
      </c>
      <c r="I22" s="15"/>
    </row>
    <row r="23" spans="1:9" ht="15.75" x14ac:dyDescent="0.25">
      <c r="A23" s="121" t="s">
        <v>129</v>
      </c>
      <c r="B23" s="121"/>
      <c r="C23" s="122">
        <v>1</v>
      </c>
      <c r="D23" s="122"/>
      <c r="E23" s="123">
        <v>1.208</v>
      </c>
      <c r="F23" s="123"/>
      <c r="G23" s="30">
        <f t="shared" si="1"/>
        <v>1.208</v>
      </c>
      <c r="H23" s="31">
        <f t="shared" si="0"/>
        <v>6270</v>
      </c>
      <c r="I23" s="15"/>
    </row>
    <row r="24" spans="1:9" ht="15.75" x14ac:dyDescent="0.25">
      <c r="A24" s="121" t="s">
        <v>130</v>
      </c>
      <c r="B24" s="121"/>
      <c r="C24" s="122"/>
      <c r="D24" s="122"/>
      <c r="E24" s="123">
        <v>1.206</v>
      </c>
      <c r="F24" s="123"/>
      <c r="G24" s="30">
        <f t="shared" si="1"/>
        <v>0</v>
      </c>
      <c r="H24" s="31">
        <f t="shared" si="0"/>
        <v>0</v>
      </c>
      <c r="I24" s="15"/>
    </row>
    <row r="25" spans="1:9" ht="15.75" x14ac:dyDescent="0.25">
      <c r="A25" s="121" t="s">
        <v>131</v>
      </c>
      <c r="B25" s="121"/>
      <c r="C25" s="122"/>
      <c r="D25" s="122"/>
      <c r="E25" s="123">
        <v>1.1990000000000001</v>
      </c>
      <c r="F25" s="123"/>
      <c r="G25" s="30">
        <f t="shared" si="1"/>
        <v>0</v>
      </c>
      <c r="H25" s="31">
        <f t="shared" si="0"/>
        <v>0</v>
      </c>
      <c r="I25" s="15"/>
    </row>
    <row r="26" spans="1:9" ht="15.75" x14ac:dyDescent="0.25">
      <c r="A26" s="134" t="s">
        <v>132</v>
      </c>
      <c r="B26" s="134"/>
      <c r="C26" s="122"/>
      <c r="D26" s="122"/>
      <c r="E26" s="135">
        <v>1.01</v>
      </c>
      <c r="F26" s="135"/>
      <c r="G26" s="30">
        <f t="shared" si="1"/>
        <v>0</v>
      </c>
      <c r="H26" s="31">
        <f t="shared" si="0"/>
        <v>0</v>
      </c>
      <c r="I26" s="15"/>
    </row>
    <row r="27" spans="1:9" ht="15.75" x14ac:dyDescent="0.25">
      <c r="A27" s="136" t="s">
        <v>133</v>
      </c>
      <c r="B27" s="136"/>
      <c r="C27" s="137">
        <f>SUM(C11:C26)</f>
        <v>52</v>
      </c>
      <c r="D27" s="137"/>
      <c r="E27" s="138"/>
      <c r="F27" s="138"/>
      <c r="G27" s="33">
        <f>SUM(G11:G26)</f>
        <v>55.623999999999995</v>
      </c>
      <c r="H27" s="31">
        <f>SUM(H11:H26)</f>
        <v>288695</v>
      </c>
      <c r="I27" s="15"/>
    </row>
    <row r="28" spans="1:9" ht="15.75" x14ac:dyDescent="0.25">
      <c r="A28" s="129" t="s">
        <v>134</v>
      </c>
      <c r="B28" s="129"/>
      <c r="C28" s="129"/>
      <c r="D28" s="129"/>
      <c r="E28" s="129"/>
      <c r="F28" s="129"/>
      <c r="G28" s="129"/>
      <c r="H28" s="34"/>
      <c r="I28" s="15"/>
    </row>
    <row r="29" spans="1:9" ht="47.25" x14ac:dyDescent="0.25">
      <c r="A29" s="110" t="s">
        <v>135</v>
      </c>
      <c r="B29" s="110"/>
      <c r="C29" s="130" t="s">
        <v>136</v>
      </c>
      <c r="D29" s="131"/>
      <c r="E29" s="131"/>
      <c r="F29" s="131"/>
      <c r="G29" s="131"/>
      <c r="H29" s="27" t="s">
        <v>137</v>
      </c>
      <c r="I29" s="15"/>
    </row>
    <row r="30" spans="1:9" ht="15.75" x14ac:dyDescent="0.25">
      <c r="A30" s="127" t="s">
        <v>138</v>
      </c>
      <c r="B30" s="127"/>
      <c r="C30" s="132"/>
      <c r="D30" s="132"/>
      <c r="E30" s="132"/>
      <c r="F30" s="132"/>
      <c r="G30" s="132"/>
      <c r="H30" s="32">
        <f t="shared" ref="H30:H36" si="2">ROUND(ROUND(C30*$C$6,4)*($G$6),0)</f>
        <v>0</v>
      </c>
      <c r="I30" s="15"/>
    </row>
    <row r="31" spans="1:9" ht="15.75" x14ac:dyDescent="0.25">
      <c r="A31" s="133" t="s">
        <v>139</v>
      </c>
      <c r="B31" s="133"/>
      <c r="C31" s="132"/>
      <c r="D31" s="132"/>
      <c r="E31" s="132"/>
      <c r="F31" s="132"/>
      <c r="G31" s="132"/>
      <c r="H31" s="32">
        <f t="shared" si="2"/>
        <v>0</v>
      </c>
      <c r="I31" s="15"/>
    </row>
    <row r="32" spans="1:9" ht="15.75" x14ac:dyDescent="0.25">
      <c r="A32" s="141" t="s">
        <v>140</v>
      </c>
      <c r="B32" s="141"/>
      <c r="C32" s="142"/>
      <c r="D32" s="142"/>
      <c r="E32" s="142"/>
      <c r="F32" s="142"/>
      <c r="G32" s="142"/>
      <c r="H32" s="32">
        <f t="shared" si="2"/>
        <v>0</v>
      </c>
      <c r="I32" s="15"/>
    </row>
    <row r="33" spans="1:9" ht="15.75" x14ac:dyDescent="0.25">
      <c r="A33" s="133" t="s">
        <v>141</v>
      </c>
      <c r="B33" s="133"/>
      <c r="C33" s="132"/>
      <c r="D33" s="132"/>
      <c r="E33" s="132"/>
      <c r="F33" s="132"/>
      <c r="G33" s="132"/>
      <c r="H33" s="32">
        <f t="shared" si="2"/>
        <v>0</v>
      </c>
      <c r="I33" s="15"/>
    </row>
    <row r="34" spans="1:9" ht="15.75" x14ac:dyDescent="0.25">
      <c r="A34" s="133" t="s">
        <v>142</v>
      </c>
      <c r="B34" s="133"/>
      <c r="C34" s="132"/>
      <c r="D34" s="132"/>
      <c r="E34" s="132"/>
      <c r="F34" s="132"/>
      <c r="G34" s="132"/>
      <c r="H34" s="32">
        <f t="shared" si="2"/>
        <v>0</v>
      </c>
      <c r="I34" s="15"/>
    </row>
    <row r="35" spans="1:9" ht="15.75" x14ac:dyDescent="0.25">
      <c r="A35" s="133" t="s">
        <v>143</v>
      </c>
      <c r="B35" s="133"/>
      <c r="C35" s="132"/>
      <c r="D35" s="132"/>
      <c r="E35" s="132"/>
      <c r="F35" s="132"/>
      <c r="G35" s="132"/>
      <c r="H35" s="32">
        <f t="shared" si="2"/>
        <v>0</v>
      </c>
      <c r="I35" s="15"/>
    </row>
    <row r="36" spans="1:9" ht="15.75" x14ac:dyDescent="0.25">
      <c r="A36" s="134" t="s">
        <v>144</v>
      </c>
      <c r="B36" s="134"/>
      <c r="C36" s="132"/>
      <c r="D36" s="132"/>
      <c r="E36" s="132"/>
      <c r="F36" s="132"/>
      <c r="G36" s="132"/>
      <c r="H36" s="32">
        <f t="shared" si="2"/>
        <v>0</v>
      </c>
      <c r="I36" s="15"/>
    </row>
    <row r="37" spans="1:9" ht="16.5" thickBot="1" x14ac:dyDescent="0.3">
      <c r="A37" s="139" t="s">
        <v>145</v>
      </c>
      <c r="B37" s="139"/>
      <c r="C37" s="139"/>
      <c r="D37" s="139"/>
      <c r="E37" s="35">
        <f>SUM(C30:E36)</f>
        <v>0</v>
      </c>
      <c r="F37" s="140" t="s">
        <v>146</v>
      </c>
      <c r="G37" s="140"/>
      <c r="H37" s="36">
        <f>SUM(H30:H36)</f>
        <v>0</v>
      </c>
      <c r="I37" s="15"/>
    </row>
    <row r="38" spans="1:9" ht="16.5" thickBot="1" x14ac:dyDescent="0.3">
      <c r="A38" s="139" t="s">
        <v>147</v>
      </c>
      <c r="B38" s="139"/>
      <c r="C38" s="139"/>
      <c r="D38" s="139"/>
      <c r="E38" s="37">
        <f>E37+G27</f>
        <v>55.623999999999995</v>
      </c>
      <c r="F38" s="140" t="s">
        <v>148</v>
      </c>
      <c r="G38" s="140"/>
      <c r="H38" s="38">
        <f>SUM(H37,H27)</f>
        <v>288695</v>
      </c>
      <c r="I38" s="15"/>
    </row>
    <row r="39" spans="1:9" ht="31.5" x14ac:dyDescent="0.25">
      <c r="A39" s="147" t="s">
        <v>149</v>
      </c>
      <c r="B39" s="147"/>
      <c r="C39" s="148" t="s">
        <v>150</v>
      </c>
      <c r="D39" s="148"/>
      <c r="E39" s="39" t="s">
        <v>151</v>
      </c>
      <c r="F39" s="40" t="s">
        <v>152</v>
      </c>
      <c r="G39" s="41" t="s">
        <v>153</v>
      </c>
      <c r="H39" s="42"/>
      <c r="I39" s="15"/>
    </row>
    <row r="40" spans="1:9" ht="15.75" x14ac:dyDescent="0.25">
      <c r="A40" s="149" t="s">
        <v>154</v>
      </c>
      <c r="B40" s="149"/>
      <c r="C40" s="151">
        <f>+C12</f>
        <v>3</v>
      </c>
      <c r="D40" s="151"/>
      <c r="E40" s="43" t="s">
        <v>155</v>
      </c>
      <c r="F40" s="44">
        <v>251</v>
      </c>
      <c r="G40" s="45">
        <f>INDEX('[1]111-112-113 ADDITIONAL FUND'!D$1:D$65536,MATCH(A1,'[1]111-112-113 ADDITIONAL FUND'!A$1:A$65536))</f>
        <v>1016</v>
      </c>
      <c r="H40" s="46">
        <f>ROUND(C40*G40,0)</f>
        <v>3048</v>
      </c>
      <c r="I40" s="15"/>
    </row>
    <row r="41" spans="1:9" ht="15.75" x14ac:dyDescent="0.25">
      <c r="A41" s="150"/>
      <c r="B41" s="150"/>
      <c r="C41" s="143"/>
      <c r="D41" s="143"/>
      <c r="E41" s="44" t="s">
        <v>155</v>
      </c>
      <c r="F41" s="44">
        <v>252</v>
      </c>
      <c r="G41" s="45">
        <f>INDEX('[1]111-112-113 ADDITIONAL FUND'!E$1:E$65536,MATCH(A1,'[1]111-112-113 ADDITIONAL FUND'!A$1:A$65536))</f>
        <v>3282</v>
      </c>
      <c r="H41" s="46">
        <f t="shared" ref="H41:H48" si="3">ROUND(C41*G41,0)</f>
        <v>0</v>
      </c>
      <c r="I41" s="15"/>
    </row>
    <row r="42" spans="1:9" ht="15.75" x14ac:dyDescent="0.25">
      <c r="A42" s="150"/>
      <c r="B42" s="150"/>
      <c r="C42" s="143"/>
      <c r="D42" s="143"/>
      <c r="E42" s="44" t="s">
        <v>155</v>
      </c>
      <c r="F42" s="44">
        <v>253</v>
      </c>
      <c r="G42" s="45">
        <f>INDEX('[1]111-112-113 ADDITIONAL FUND'!F$1:F$65536,MATCH(A1,'[1]111-112-113 ADDITIONAL FUND'!A$1:A$65536))</f>
        <v>6697</v>
      </c>
      <c r="H42" s="46">
        <f t="shared" si="3"/>
        <v>0</v>
      </c>
      <c r="I42" s="15"/>
    </row>
    <row r="43" spans="1:9" ht="15.75" x14ac:dyDescent="0.25">
      <c r="A43" s="150"/>
      <c r="B43" s="150"/>
      <c r="C43" s="143">
        <f>+C14</f>
        <v>6</v>
      </c>
      <c r="D43" s="143"/>
      <c r="E43" s="47" t="s">
        <v>156</v>
      </c>
      <c r="F43" s="44">
        <v>251</v>
      </c>
      <c r="G43" s="45">
        <f>INDEX('[1]111-112-113 ADDITIONAL FUND'!G$1:G$65536,MATCH(A1,'[1]111-112-113 ADDITIONAL FUND'!A$1:A$65536))</f>
        <v>1139</v>
      </c>
      <c r="H43" s="46">
        <f t="shared" si="3"/>
        <v>6834</v>
      </c>
      <c r="I43" s="15"/>
    </row>
    <row r="44" spans="1:9" ht="15.75" x14ac:dyDescent="0.25">
      <c r="A44" s="150"/>
      <c r="B44" s="150"/>
      <c r="C44" s="143"/>
      <c r="D44" s="143"/>
      <c r="E44" s="47" t="s">
        <v>156</v>
      </c>
      <c r="F44" s="44">
        <v>252</v>
      </c>
      <c r="G44" s="45">
        <f>INDEX('[1]111-112-113 ADDITIONAL FUND'!H$1:H$65536,MATCH(A1,'[1]111-112-113 ADDITIONAL FUND'!A$1:A$65536))</f>
        <v>3405</v>
      </c>
      <c r="H44" s="46">
        <f t="shared" si="3"/>
        <v>0</v>
      </c>
      <c r="I44" s="15"/>
    </row>
    <row r="45" spans="1:9" ht="15.75" x14ac:dyDescent="0.25">
      <c r="A45" s="150"/>
      <c r="B45" s="150"/>
      <c r="C45" s="143"/>
      <c r="D45" s="143"/>
      <c r="E45" s="47" t="s">
        <v>156</v>
      </c>
      <c r="F45" s="44">
        <v>253</v>
      </c>
      <c r="G45" s="45">
        <f>INDEX('[1]111-112-113 ADDITIONAL FUND'!I$1:I$65536,MATCH(A1,'[1]111-112-113 ADDITIONAL FUND'!A$1:A$65536))</f>
        <v>6820</v>
      </c>
      <c r="H45" s="46">
        <f t="shared" si="3"/>
        <v>0</v>
      </c>
      <c r="I45" s="15"/>
    </row>
    <row r="46" spans="1:9" ht="15.75" x14ac:dyDescent="0.25">
      <c r="A46" s="150"/>
      <c r="B46" s="150"/>
      <c r="C46" s="143"/>
      <c r="D46" s="143"/>
      <c r="E46" s="47" t="s">
        <v>157</v>
      </c>
      <c r="F46" s="44">
        <v>251</v>
      </c>
      <c r="G46" s="45">
        <f>INDEX('[1]111-112-113 ADDITIONAL FUND'!J$1:J$65536,MATCH(A1,'[1]111-112-113 ADDITIONAL FUND'!A$1:A$65536))</f>
        <v>811</v>
      </c>
      <c r="H46" s="46">
        <f t="shared" si="3"/>
        <v>0</v>
      </c>
      <c r="I46" s="15"/>
    </row>
    <row r="47" spans="1:9" ht="15.75" x14ac:dyDescent="0.25">
      <c r="A47" s="150"/>
      <c r="B47" s="150"/>
      <c r="C47" s="143"/>
      <c r="D47" s="143"/>
      <c r="E47" s="47" t="s">
        <v>157</v>
      </c>
      <c r="F47" s="44">
        <v>252</v>
      </c>
      <c r="G47" s="45">
        <f>INDEX('[1]111-112-113 ADDITIONAL FUND'!K$1:K$65536,MATCH(A1,'[1]111-112-113 ADDITIONAL FUND'!A$1:A$65536))</f>
        <v>3076</v>
      </c>
      <c r="H47" s="46">
        <f t="shared" si="3"/>
        <v>0</v>
      </c>
      <c r="I47" s="15"/>
    </row>
    <row r="48" spans="1:9" ht="16.5" thickBot="1" x14ac:dyDescent="0.3">
      <c r="A48" s="150"/>
      <c r="B48" s="150"/>
      <c r="C48" s="144"/>
      <c r="D48" s="144"/>
      <c r="E48" s="47" t="s">
        <v>157</v>
      </c>
      <c r="F48" s="44">
        <v>253</v>
      </c>
      <c r="G48" s="45">
        <f>INDEX('[1]111-112-113 ADDITIONAL FUND'!L$1:L$65536,MATCH(A1,'[1]111-112-113 ADDITIONAL FUND'!A$1:A$65536))</f>
        <v>6491</v>
      </c>
      <c r="H48" s="48">
        <f t="shared" si="3"/>
        <v>0</v>
      </c>
      <c r="I48" s="15"/>
    </row>
    <row r="49" spans="1:9" ht="16.5" thickBot="1" x14ac:dyDescent="0.3">
      <c r="A49" s="145" t="s">
        <v>158</v>
      </c>
      <c r="B49" s="145"/>
      <c r="C49" s="146">
        <f>SUM(C40:C48)</f>
        <v>9</v>
      </c>
      <c r="D49" s="146"/>
      <c r="E49" s="145" t="s">
        <v>159</v>
      </c>
      <c r="F49" s="145"/>
      <c r="G49" s="145"/>
      <c r="H49" s="38">
        <f>SUM(H40:H48)</f>
        <v>9882</v>
      </c>
      <c r="I49" s="15"/>
    </row>
    <row r="50" spans="1:9" ht="15.75" x14ac:dyDescent="0.25">
      <c r="A50" s="155" t="s">
        <v>160</v>
      </c>
      <c r="B50" s="155"/>
      <c r="C50" s="155"/>
      <c r="D50" s="155"/>
      <c r="E50" s="155"/>
      <c r="F50" s="155"/>
      <c r="G50" s="155"/>
      <c r="H50" s="155"/>
      <c r="I50" s="15"/>
    </row>
    <row r="51" spans="1:9" ht="15.75" x14ac:dyDescent="0.25">
      <c r="A51" s="152" t="s">
        <v>161</v>
      </c>
      <c r="B51" s="152"/>
      <c r="C51" s="49">
        <f>C27</f>
        <v>52</v>
      </c>
      <c r="D51" s="50" t="s">
        <v>162</v>
      </c>
      <c r="E51" s="51"/>
      <c r="F51" s="52" t="s">
        <v>163</v>
      </c>
      <c r="G51" s="153">
        <v>230907.98</v>
      </c>
      <c r="H51" s="153"/>
      <c r="I51" s="15"/>
    </row>
    <row r="52" spans="1:9" ht="15.75" x14ac:dyDescent="0.25">
      <c r="A52" s="53"/>
      <c r="B52" s="54"/>
      <c r="C52" s="15"/>
      <c r="D52" s="15"/>
      <c r="E52" s="55"/>
      <c r="F52" s="56" t="s">
        <v>164</v>
      </c>
      <c r="G52" s="158">
        <f>ROUND(C51/G51,6)</f>
        <v>2.2499999999999999E-4</v>
      </c>
      <c r="H52" s="158"/>
      <c r="I52" s="15"/>
    </row>
    <row r="53" spans="1:9" ht="15.75" x14ac:dyDescent="0.25">
      <c r="A53" s="155" t="s">
        <v>165</v>
      </c>
      <c r="B53" s="155"/>
      <c r="C53" s="155"/>
      <c r="D53" s="155"/>
      <c r="E53" s="155"/>
      <c r="F53" s="155"/>
      <c r="G53" s="155"/>
      <c r="H53" s="155"/>
      <c r="I53" s="15"/>
    </row>
    <row r="54" spans="1:9" ht="15.75" x14ac:dyDescent="0.25">
      <c r="A54" s="152" t="s">
        <v>166</v>
      </c>
      <c r="B54" s="152"/>
      <c r="C54" s="49">
        <f>E38</f>
        <v>55.623999999999995</v>
      </c>
      <c r="D54" s="50" t="s">
        <v>162</v>
      </c>
      <c r="E54" s="51"/>
      <c r="F54" s="52" t="s">
        <v>167</v>
      </c>
      <c r="G54" s="153">
        <v>252435.78</v>
      </c>
      <c r="H54" s="153"/>
      <c r="I54" s="15"/>
    </row>
    <row r="55" spans="1:9" ht="15.75" x14ac:dyDescent="0.25">
      <c r="A55" s="57"/>
      <c r="B55" s="39"/>
      <c r="C55" s="42"/>
      <c r="D55" s="42"/>
      <c r="E55" s="39"/>
      <c r="F55" s="58" t="s">
        <v>164</v>
      </c>
      <c r="G55" s="154">
        <f>ROUND(C54/G54,6)</f>
        <v>2.2000000000000001E-4</v>
      </c>
      <c r="H55" s="154"/>
      <c r="I55" s="15"/>
    </row>
    <row r="56" spans="1:9" ht="15.75" x14ac:dyDescent="0.25">
      <c r="A56" s="155" t="s">
        <v>168</v>
      </c>
      <c r="B56" s="155"/>
      <c r="C56" s="155"/>
      <c r="D56" s="59" t="s">
        <v>169</v>
      </c>
      <c r="E56" s="60">
        <v>60621212</v>
      </c>
      <c r="F56" s="43" t="s">
        <v>170</v>
      </c>
      <c r="G56" s="61">
        <f>G52</f>
        <v>2.2499999999999999E-4</v>
      </c>
      <c r="H56" s="31">
        <f>ROUND(E56*G56,0)</f>
        <v>13640</v>
      </c>
      <c r="I56" s="15"/>
    </row>
    <row r="57" spans="1:9" ht="15.75" x14ac:dyDescent="0.25">
      <c r="A57" s="156" t="s">
        <v>171</v>
      </c>
      <c r="B57" s="155"/>
      <c r="C57" s="155"/>
      <c r="D57" s="59"/>
      <c r="E57" s="62"/>
      <c r="F57" s="43"/>
      <c r="G57" s="61"/>
      <c r="H57" s="31"/>
      <c r="I57" s="15"/>
    </row>
    <row r="58" spans="1:9" ht="15.75" x14ac:dyDescent="0.25">
      <c r="A58" s="157" t="s">
        <v>172</v>
      </c>
      <c r="B58" s="152"/>
      <c r="C58" s="152"/>
      <c r="D58" s="59" t="s">
        <v>169</v>
      </c>
      <c r="E58" s="60">
        <v>62075040</v>
      </c>
      <c r="F58" s="43" t="s">
        <v>170</v>
      </c>
      <c r="G58" s="61">
        <f>G52</f>
        <v>2.2499999999999999E-4</v>
      </c>
      <c r="H58" s="31">
        <f>ROUND(E58*G58,0)</f>
        <v>13967</v>
      </c>
      <c r="I58" s="15"/>
    </row>
    <row r="59" spans="1:9" ht="15.75" x14ac:dyDescent="0.25">
      <c r="A59" s="155" t="s">
        <v>173</v>
      </c>
      <c r="B59" s="155"/>
      <c r="C59" s="155"/>
      <c r="D59" s="59" t="s">
        <v>174</v>
      </c>
      <c r="E59" s="60"/>
      <c r="F59" s="43" t="s">
        <v>170</v>
      </c>
      <c r="G59" s="61">
        <f>G52</f>
        <v>2.2499999999999999E-4</v>
      </c>
      <c r="H59" s="31">
        <f>ROUND(E59*G59,0)</f>
        <v>0</v>
      </c>
      <c r="I59" s="15"/>
    </row>
    <row r="60" spans="1:9" ht="15.75" x14ac:dyDescent="0.25">
      <c r="A60" s="155" t="s">
        <v>175</v>
      </c>
      <c r="B60" s="155"/>
      <c r="C60" s="155"/>
      <c r="D60" s="59" t="s">
        <v>169</v>
      </c>
      <c r="E60" s="60">
        <v>15641515</v>
      </c>
      <c r="F60" s="43" t="s">
        <v>170</v>
      </c>
      <c r="G60" s="61">
        <f>G52</f>
        <v>2.2499999999999999E-4</v>
      </c>
      <c r="H60" s="31">
        <f>ROUND(E60*G60,0)</f>
        <v>3519</v>
      </c>
      <c r="I60" s="15"/>
    </row>
    <row r="61" spans="1:9" ht="15.75" x14ac:dyDescent="0.25">
      <c r="A61" s="155" t="s">
        <v>176</v>
      </c>
      <c r="B61" s="155"/>
      <c r="C61" s="155"/>
      <c r="D61" s="59" t="s">
        <v>169</v>
      </c>
      <c r="E61" s="63">
        <v>0</v>
      </c>
      <c r="F61" s="43" t="s">
        <v>170</v>
      </c>
      <c r="G61" s="61">
        <f>G52</f>
        <v>2.2499999999999999E-4</v>
      </c>
      <c r="H61" s="31">
        <f>ROUND(E61*G61,0)</f>
        <v>0</v>
      </c>
      <c r="I61" s="15"/>
    </row>
    <row r="62" spans="1:9" ht="15.75" x14ac:dyDescent="0.25">
      <c r="A62" s="121" t="s">
        <v>177</v>
      </c>
      <c r="B62" s="121"/>
      <c r="C62" s="121"/>
      <c r="D62" s="44" t="s">
        <v>178</v>
      </c>
      <c r="E62" s="117"/>
      <c r="F62" s="117"/>
      <c r="G62" s="117"/>
      <c r="H62" s="64"/>
      <c r="I62" s="15"/>
    </row>
    <row r="63" spans="1:9" ht="15.75" x14ac:dyDescent="0.25">
      <c r="A63" s="121" t="s">
        <v>179</v>
      </c>
      <c r="B63" s="121"/>
      <c r="C63" s="121"/>
      <c r="D63" s="121"/>
      <c r="E63" s="121"/>
      <c r="F63" s="121"/>
      <c r="G63" s="121"/>
      <c r="H63" s="64"/>
      <c r="I63" s="15"/>
    </row>
    <row r="64" spans="1:9" ht="15.75" x14ac:dyDescent="0.25">
      <c r="A64" s="65" t="s">
        <v>180</v>
      </c>
      <c r="B64" s="54"/>
      <c r="C64" s="54"/>
      <c r="D64" s="54"/>
      <c r="E64" s="54"/>
      <c r="F64" s="54"/>
      <c r="G64" s="54"/>
      <c r="H64" s="36"/>
      <c r="I64" s="15"/>
    </row>
    <row r="65" spans="1:9" ht="15.75" x14ac:dyDescent="0.25">
      <c r="A65" s="155" t="s">
        <v>181</v>
      </c>
      <c r="B65" s="155"/>
      <c r="C65" s="155"/>
      <c r="D65" s="59" t="s">
        <v>169</v>
      </c>
      <c r="E65" s="63">
        <v>11789171</v>
      </c>
      <c r="F65" s="43" t="s">
        <v>170</v>
      </c>
      <c r="G65" s="61">
        <f>G52</f>
        <v>2.2499999999999999E-4</v>
      </c>
      <c r="H65" s="31">
        <f t="shared" ref="H65:H70" si="4">ROUND(E65*G65,0)</f>
        <v>2653</v>
      </c>
      <c r="I65" s="15"/>
    </row>
    <row r="66" spans="1:9" ht="15.75" x14ac:dyDescent="0.25">
      <c r="A66" s="155" t="s">
        <v>182</v>
      </c>
      <c r="B66" s="155"/>
      <c r="C66" s="155"/>
      <c r="D66" s="59" t="s">
        <v>169</v>
      </c>
      <c r="E66" s="63"/>
      <c r="F66" s="43" t="s">
        <v>170</v>
      </c>
      <c r="G66" s="61">
        <f>G52</f>
        <v>2.2499999999999999E-4</v>
      </c>
      <c r="H66" s="31">
        <f t="shared" si="4"/>
        <v>0</v>
      </c>
      <c r="I66" s="15"/>
    </row>
    <row r="67" spans="1:9" ht="15.75" x14ac:dyDescent="0.25">
      <c r="A67" s="155" t="s">
        <v>183</v>
      </c>
      <c r="B67" s="155"/>
      <c r="C67" s="155"/>
      <c r="D67" s="59" t="s">
        <v>184</v>
      </c>
      <c r="E67" s="63">
        <f>INDEX('[1] Detail 2021-22 FEFP Conference'!G$1:G$65536,MATCH(A1,'[1] Detail 2021-22 FEFP Conference'!A$1:A$65536))</f>
        <v>0</v>
      </c>
      <c r="F67" s="43" t="s">
        <v>170</v>
      </c>
      <c r="G67" s="61">
        <f>G55</f>
        <v>2.2000000000000001E-4</v>
      </c>
      <c r="H67" s="31">
        <f t="shared" si="4"/>
        <v>0</v>
      </c>
      <c r="I67" s="15"/>
    </row>
    <row r="68" spans="1:9" ht="15.75" x14ac:dyDescent="0.25">
      <c r="A68" s="155" t="s">
        <v>185</v>
      </c>
      <c r="B68" s="155"/>
      <c r="C68" s="155"/>
      <c r="D68" s="59" t="s">
        <v>184</v>
      </c>
      <c r="E68" s="66"/>
      <c r="F68" s="43" t="s">
        <v>170</v>
      </c>
      <c r="G68" s="61">
        <f>G55</f>
        <v>2.2000000000000001E-4</v>
      </c>
      <c r="H68" s="31">
        <f t="shared" si="4"/>
        <v>0</v>
      </c>
      <c r="I68" s="15"/>
    </row>
    <row r="69" spans="1:9" ht="15.75" x14ac:dyDescent="0.25">
      <c r="A69" s="155" t="s">
        <v>186</v>
      </c>
      <c r="B69" s="155"/>
      <c r="C69" s="155"/>
      <c r="D69" s="59" t="s">
        <v>184</v>
      </c>
      <c r="E69" s="63">
        <v>124787646</v>
      </c>
      <c r="F69" s="43" t="s">
        <v>170</v>
      </c>
      <c r="G69" s="61">
        <f>G55</f>
        <v>2.2000000000000001E-4</v>
      </c>
      <c r="H69" s="31">
        <f t="shared" si="4"/>
        <v>27453</v>
      </c>
      <c r="I69" s="15"/>
    </row>
    <row r="70" spans="1:9" ht="15.75" x14ac:dyDescent="0.25">
      <c r="A70" s="155" t="s">
        <v>187</v>
      </c>
      <c r="B70" s="155"/>
      <c r="C70" s="155"/>
      <c r="D70" s="59" t="s">
        <v>184</v>
      </c>
      <c r="E70" s="60">
        <f>INDEX('[1] Detail 2021-22 FEFP Conference'!Q$1:Q$65536,MATCH(A1,'[1] Detail 2021-22 FEFP Conference'!A$1:A$65536))</f>
        <v>0</v>
      </c>
      <c r="F70" s="43" t="s">
        <v>170</v>
      </c>
      <c r="G70" s="61">
        <f>G55</f>
        <v>2.2000000000000001E-4</v>
      </c>
      <c r="H70" s="31">
        <f t="shared" si="4"/>
        <v>0</v>
      </c>
      <c r="I70" s="15"/>
    </row>
    <row r="71" spans="1:9" ht="15.75" x14ac:dyDescent="0.25">
      <c r="A71" s="155" t="s">
        <v>188</v>
      </c>
      <c r="B71" s="155"/>
      <c r="C71" s="155"/>
      <c r="D71" s="59" t="s">
        <v>189</v>
      </c>
      <c r="E71" s="67"/>
      <c r="F71" s="43"/>
      <c r="G71" s="61"/>
      <c r="H71" s="64">
        <v>31085</v>
      </c>
      <c r="I71" s="15"/>
    </row>
    <row r="72" spans="1:9" ht="15.75" x14ac:dyDescent="0.25">
      <c r="A72" s="155" t="s">
        <v>190</v>
      </c>
      <c r="B72" s="155"/>
      <c r="C72" s="155"/>
      <c r="D72" s="155"/>
      <c r="E72" s="155"/>
      <c r="F72" s="155"/>
      <c r="G72" s="155"/>
      <c r="H72" s="155"/>
      <c r="I72" s="15"/>
    </row>
    <row r="73" spans="1:9" ht="15.75" x14ac:dyDescent="0.25">
      <c r="A73" s="164" t="s">
        <v>191</v>
      </c>
      <c r="B73" s="164"/>
      <c r="C73" s="165" t="s">
        <v>192</v>
      </c>
      <c r="D73" s="165"/>
      <c r="E73" s="166" t="s">
        <v>193</v>
      </c>
      <c r="F73" s="166"/>
      <c r="G73" s="166"/>
      <c r="H73" s="166"/>
      <c r="I73" s="15"/>
    </row>
    <row r="74" spans="1:9" ht="15.75" x14ac:dyDescent="0.25">
      <c r="A74" s="68" t="s">
        <v>194</v>
      </c>
      <c r="B74" s="69">
        <f>G11+G12+G17+G20+G23</f>
        <v>32.624000000000002</v>
      </c>
      <c r="C74" s="159">
        <f>G6</f>
        <v>1.0098</v>
      </c>
      <c r="D74" s="159"/>
      <c r="E74" s="70">
        <v>947.59</v>
      </c>
      <c r="F74" s="71" t="s">
        <v>164</v>
      </c>
      <c r="G74" s="63">
        <f>ROUND(B74*C74*E74,0)</f>
        <v>31217</v>
      </c>
      <c r="H74" s="72"/>
      <c r="I74" s="15"/>
    </row>
    <row r="75" spans="1:9" ht="15.75" x14ac:dyDescent="0.25">
      <c r="A75" s="73" t="s">
        <v>156</v>
      </c>
      <c r="B75" s="69">
        <f>G13+G14+G18+G21+G24</f>
        <v>23</v>
      </c>
      <c r="C75" s="159">
        <f>G6</f>
        <v>1.0098</v>
      </c>
      <c r="D75" s="159"/>
      <c r="E75" s="70">
        <v>904.74</v>
      </c>
      <c r="F75" s="71" t="s">
        <v>164</v>
      </c>
      <c r="G75" s="63">
        <f>ROUND(B75*C75*E75,0)</f>
        <v>21013</v>
      </c>
      <c r="H75" s="74"/>
      <c r="I75" s="15"/>
    </row>
    <row r="76" spans="1:9" ht="16.5" thickBot="1" x14ac:dyDescent="0.3">
      <c r="A76" s="75" t="s">
        <v>157</v>
      </c>
      <c r="B76" s="76">
        <f>G15+G16+G19+G22+G25+G26</f>
        <v>0</v>
      </c>
      <c r="C76" s="159">
        <f>G6</f>
        <v>1.0098</v>
      </c>
      <c r="D76" s="159"/>
      <c r="E76" s="70">
        <v>906.93</v>
      </c>
      <c r="F76" s="71" t="s">
        <v>164</v>
      </c>
      <c r="G76" s="63">
        <f>ROUND(B76*C76*E76,0)</f>
        <v>0</v>
      </c>
      <c r="H76" s="74"/>
      <c r="I76" s="15"/>
    </row>
    <row r="77" spans="1:9" ht="16.5" thickBot="1" x14ac:dyDescent="0.3">
      <c r="A77" s="77" t="s">
        <v>195</v>
      </c>
      <c r="B77" s="78">
        <f>SUM(B74:B76)</f>
        <v>55.624000000000002</v>
      </c>
      <c r="C77" s="160" t="s">
        <v>196</v>
      </c>
      <c r="D77" s="161"/>
      <c r="E77" s="161"/>
      <c r="F77" s="161"/>
      <c r="G77" s="161"/>
      <c r="H77" s="31">
        <f>IF(A1=75,0,G76+G75+G74)</f>
        <v>52230</v>
      </c>
      <c r="I77" s="15"/>
    </row>
    <row r="78" spans="1:9" ht="15.75" x14ac:dyDescent="0.25">
      <c r="A78" s="162" t="s">
        <v>197</v>
      </c>
      <c r="B78" s="162"/>
      <c r="C78" s="162"/>
      <c r="D78" s="162"/>
      <c r="E78" s="162"/>
      <c r="F78" s="162"/>
      <c r="G78" s="162"/>
      <c r="H78" s="162"/>
      <c r="I78" s="15"/>
    </row>
    <row r="79" spans="1:9" ht="15.75" x14ac:dyDescent="0.25">
      <c r="A79" s="155" t="s">
        <v>198</v>
      </c>
      <c r="B79" s="155"/>
      <c r="C79" s="155"/>
      <c r="D79" s="59" t="s">
        <v>199</v>
      </c>
      <c r="E79" s="163"/>
      <c r="F79" s="163"/>
      <c r="G79" s="163"/>
      <c r="H79" s="163"/>
      <c r="I79" s="15"/>
    </row>
    <row r="80" spans="1:9" ht="15.75" x14ac:dyDescent="0.25">
      <c r="A80" s="172" t="s">
        <v>200</v>
      </c>
      <c r="B80" s="172"/>
      <c r="C80" s="173"/>
      <c r="D80" s="173"/>
      <c r="E80" s="173"/>
      <c r="F80" s="79" t="s">
        <v>201</v>
      </c>
      <c r="G80" s="80">
        <f>IF(A1&gt;67,0,INDEX('[1]Transportation Per Student'!F$1:F$65536,MATCH(A1,'[1]Transportation Per Student'!B$1:B$65536)))</f>
        <v>421</v>
      </c>
      <c r="H80" s="31">
        <f>ROUND(G80*C80,0)</f>
        <v>0</v>
      </c>
      <c r="I80" s="15"/>
    </row>
    <row r="81" spans="1:10" ht="15.75" x14ac:dyDescent="0.25">
      <c r="A81" s="172" t="s">
        <v>202</v>
      </c>
      <c r="B81" s="172"/>
      <c r="C81" s="170"/>
      <c r="D81" s="170"/>
      <c r="E81" s="170"/>
      <c r="F81" s="79" t="s">
        <v>201</v>
      </c>
      <c r="G81" s="80">
        <f>IF(A1&gt;67,0,INDEX('[1]Transportation Per Student'!J$1:J$65536,MATCH(A1,'[1]Transportation Per Student'!B$1:B$65536)))</f>
        <v>1504</v>
      </c>
      <c r="H81" s="31">
        <f>ROUND(G81*C81,0)</f>
        <v>0</v>
      </c>
      <c r="I81" s="15"/>
    </row>
    <row r="82" spans="1:10" ht="15.75" x14ac:dyDescent="0.25">
      <c r="A82" s="155" t="s">
        <v>203</v>
      </c>
      <c r="B82" s="155"/>
      <c r="C82" s="155"/>
      <c r="D82" s="44" t="s">
        <v>204</v>
      </c>
      <c r="E82" s="117"/>
      <c r="F82" s="117"/>
      <c r="G82" s="117"/>
      <c r="H82" s="117"/>
      <c r="I82" s="15"/>
    </row>
    <row r="83" spans="1:10" ht="47.25" x14ac:dyDescent="0.25">
      <c r="A83" s="167" t="s">
        <v>205</v>
      </c>
      <c r="B83" s="167"/>
      <c r="C83" s="168" t="s">
        <v>206</v>
      </c>
      <c r="D83" s="168"/>
      <c r="E83" s="169" t="s">
        <v>207</v>
      </c>
      <c r="F83" s="169"/>
      <c r="G83" s="40" t="s">
        <v>208</v>
      </c>
      <c r="H83" s="81" t="s">
        <v>209</v>
      </c>
      <c r="I83" s="15"/>
    </row>
    <row r="84" spans="1:10" ht="15.75" x14ac:dyDescent="0.25">
      <c r="A84" s="133" t="s">
        <v>210</v>
      </c>
      <c r="B84" s="133"/>
      <c r="C84" s="170"/>
      <c r="D84" s="170"/>
      <c r="E84" s="171">
        <f>IF(C84=0,0,INDEX('[1] Detail 2021-22 FEFP Conference'!AA$1:AA$65536,MATCH(A1,'[1] Detail 2021-22 FEFP Conference'!A$1:A$65536)))</f>
        <v>0</v>
      </c>
      <c r="F84" s="171"/>
      <c r="G84" s="82">
        <f>IF(C84=0,0,'[1] Detail 2021-22 FEFP Conference'!AQ3)</f>
        <v>0</v>
      </c>
      <c r="H84" s="31">
        <f>ROUND((G84+E84)*C84,0)</f>
        <v>0</v>
      </c>
      <c r="I84" s="15"/>
    </row>
    <row r="85" spans="1:10" ht="15.75" x14ac:dyDescent="0.25">
      <c r="A85" s="133" t="s">
        <v>211</v>
      </c>
      <c r="B85" s="133"/>
      <c r="C85" s="170"/>
      <c r="D85" s="170"/>
      <c r="E85" s="175">
        <f>ROUND(E84/2,2)</f>
        <v>0</v>
      </c>
      <c r="F85" s="175"/>
      <c r="G85" s="83">
        <f>IF(C85=0,0,ROUND('[1] Detail 2021-22 FEFP Conference'!AQ3/2,2))</f>
        <v>0</v>
      </c>
      <c r="H85" s="31">
        <f>ROUND((G85+E85)*C85,0)</f>
        <v>0</v>
      </c>
      <c r="I85" s="15"/>
    </row>
    <row r="86" spans="1:10" ht="16.5" thickBot="1" x14ac:dyDescent="0.3">
      <c r="A86" s="134" t="s">
        <v>212</v>
      </c>
      <c r="B86" s="134"/>
      <c r="C86" s="170"/>
      <c r="D86" s="170"/>
      <c r="E86" s="176"/>
      <c r="F86" s="176"/>
      <c r="G86" s="84">
        <f>IF(G84&gt;0,'[1] Detail 2021-22 FEFP Conference'!AR3,0)</f>
        <v>0</v>
      </c>
      <c r="H86" s="36">
        <f>ROUND(G86*C86,0)</f>
        <v>0</v>
      </c>
      <c r="I86" s="15"/>
    </row>
    <row r="87" spans="1:10" ht="16.5" thickBot="1" x14ac:dyDescent="0.3">
      <c r="A87" s="129" t="s">
        <v>209</v>
      </c>
      <c r="B87" s="129"/>
      <c r="C87" s="85"/>
      <c r="D87" s="85"/>
      <c r="E87" s="85"/>
      <c r="F87" s="85"/>
      <c r="G87" s="85"/>
      <c r="H87" s="86">
        <f>SUM(H84:H86)</f>
        <v>0</v>
      </c>
      <c r="I87" s="15"/>
    </row>
    <row r="88" spans="1:10" ht="15.75" x14ac:dyDescent="0.25">
      <c r="A88" s="155" t="s">
        <v>213</v>
      </c>
      <c r="B88" s="155"/>
      <c r="C88" s="155"/>
      <c r="D88" s="87" t="s">
        <v>214</v>
      </c>
      <c r="E88" s="174"/>
      <c r="F88" s="174"/>
      <c r="G88" s="174"/>
      <c r="H88" s="64"/>
      <c r="I88" s="15"/>
    </row>
    <row r="89" spans="1:10" ht="15.75" x14ac:dyDescent="0.25">
      <c r="A89" s="155" t="s">
        <v>215</v>
      </c>
      <c r="B89" s="155"/>
      <c r="C89" s="155"/>
      <c r="D89" s="87" t="s">
        <v>216</v>
      </c>
      <c r="E89" s="174"/>
      <c r="F89" s="174"/>
      <c r="G89" s="174"/>
      <c r="H89" s="64"/>
      <c r="I89" s="15" t="s">
        <v>249</v>
      </c>
    </row>
    <row r="90" spans="1:10" ht="16.5" thickBot="1" x14ac:dyDescent="0.3">
      <c r="A90" s="145" t="s">
        <v>209</v>
      </c>
      <c r="B90" s="145"/>
      <c r="C90" s="145"/>
      <c r="D90" s="145"/>
      <c r="E90" s="145"/>
      <c r="F90" s="145"/>
      <c r="G90" s="145"/>
      <c r="H90" s="88">
        <f>SUM(H89,H88,H87,H81,H80,H77,H70,H69,H67,H63,H62,H61,H60,H59,H58,H56,H49,H38,H68,H65,H66,H71)</f>
        <v>443124</v>
      </c>
      <c r="I90" s="104">
        <f>IF(C27&lt;250,H90*0.05,0)</f>
        <v>22156.2</v>
      </c>
      <c r="J90" t="s">
        <v>250</v>
      </c>
    </row>
    <row r="91" spans="1:10" ht="16.5" thickTop="1" x14ac:dyDescent="0.25">
      <c r="A91" s="155" t="s">
        <v>217</v>
      </c>
      <c r="B91" s="155"/>
      <c r="C91" s="155"/>
      <c r="D91" s="155"/>
      <c r="E91" s="155"/>
      <c r="F91" s="155"/>
      <c r="G91" s="89" t="s">
        <v>218</v>
      </c>
      <c r="H91" s="90"/>
      <c r="I91" s="15">
        <f>IF(C27&lt;250,0,250/C27*0.05*H90)</f>
        <v>0</v>
      </c>
      <c r="J91" t="s">
        <v>251</v>
      </c>
    </row>
    <row r="92" spans="1:10" ht="15.75" x14ac:dyDescent="0.25">
      <c r="A92" s="152" t="s">
        <v>219</v>
      </c>
      <c r="B92" s="152"/>
      <c r="C92" s="152"/>
      <c r="D92" s="152"/>
      <c r="E92" s="152"/>
      <c r="F92" s="152"/>
      <c r="G92" s="91"/>
      <c r="H92" s="46">
        <f>'[1]75% or more ESE Calc'!H87</f>
        <v>0</v>
      </c>
      <c r="I92" s="15"/>
    </row>
    <row r="93" spans="1:10" x14ac:dyDescent="0.25">
      <c r="A93" s="179" t="s">
        <v>220</v>
      </c>
      <c r="B93" s="179"/>
      <c r="C93" s="179"/>
      <c r="D93" s="179"/>
      <c r="E93" s="179"/>
      <c r="F93" s="179"/>
      <c r="G93" s="179"/>
      <c r="H93" s="179"/>
      <c r="I93" s="92"/>
    </row>
    <row r="94" spans="1:10" x14ac:dyDescent="0.25">
      <c r="A94" s="177" t="s">
        <v>221</v>
      </c>
      <c r="B94" s="177"/>
      <c r="C94" s="177"/>
      <c r="D94" s="177"/>
      <c r="E94" s="177"/>
      <c r="F94" s="177"/>
      <c r="G94" s="177"/>
      <c r="H94" s="177"/>
      <c r="I94" s="92"/>
    </row>
    <row r="95" spans="1:10" ht="15.75" x14ac:dyDescent="0.25">
      <c r="A95" s="179" t="s">
        <v>222</v>
      </c>
      <c r="B95" s="179"/>
      <c r="C95" s="179"/>
      <c r="D95" s="179"/>
      <c r="E95" s="179"/>
      <c r="F95" s="179"/>
      <c r="G95" s="179"/>
      <c r="H95" s="179"/>
      <c r="I95" s="15"/>
    </row>
    <row r="96" spans="1:10" x14ac:dyDescent="0.25">
      <c r="A96" s="179" t="s">
        <v>223</v>
      </c>
      <c r="B96" s="179"/>
      <c r="C96" s="179"/>
      <c r="D96" s="179"/>
      <c r="E96" s="179"/>
      <c r="F96" s="179"/>
      <c r="G96" s="179"/>
      <c r="H96" s="179"/>
      <c r="I96" s="92"/>
    </row>
    <row r="97" spans="1:9" x14ac:dyDescent="0.25">
      <c r="A97" s="177" t="s">
        <v>224</v>
      </c>
      <c r="B97" s="177"/>
      <c r="C97" s="177"/>
      <c r="D97" s="177"/>
      <c r="E97" s="177"/>
      <c r="F97" s="177"/>
      <c r="G97" s="177"/>
      <c r="H97" s="177"/>
      <c r="I97" s="92"/>
    </row>
    <row r="98" spans="1:9" x14ac:dyDescent="0.25">
      <c r="A98" s="177" t="s">
        <v>225</v>
      </c>
      <c r="B98" s="177"/>
      <c r="C98" s="177"/>
      <c r="D98" s="177"/>
      <c r="E98" s="177"/>
      <c r="F98" s="177"/>
      <c r="G98" s="177"/>
      <c r="H98" s="177"/>
      <c r="I98" s="92"/>
    </row>
    <row r="99" spans="1:9" x14ac:dyDescent="0.25">
      <c r="A99" s="178" t="s">
        <v>226</v>
      </c>
      <c r="B99" s="178"/>
      <c r="C99" s="178"/>
      <c r="D99" s="178"/>
      <c r="E99" s="178"/>
      <c r="F99" s="178"/>
      <c r="G99" s="178"/>
      <c r="H99" s="178"/>
      <c r="I99" s="92"/>
    </row>
    <row r="100" spans="1:9" x14ac:dyDescent="0.25">
      <c r="A100" s="177" t="s">
        <v>227</v>
      </c>
      <c r="B100" s="177"/>
      <c r="C100" s="177"/>
      <c r="D100" s="177"/>
      <c r="E100" s="177"/>
      <c r="F100" s="177"/>
      <c r="G100" s="177"/>
      <c r="H100" s="177"/>
      <c r="I100" s="92"/>
    </row>
    <row r="101" spans="1:9" x14ac:dyDescent="0.25">
      <c r="A101" s="177" t="s">
        <v>228</v>
      </c>
      <c r="B101" s="177"/>
      <c r="C101" s="177"/>
      <c r="D101" s="177"/>
      <c r="E101" s="177"/>
      <c r="F101" s="177"/>
      <c r="G101" s="177"/>
      <c r="H101" s="177"/>
      <c r="I101" s="93"/>
    </row>
    <row r="102" spans="1:9" x14ac:dyDescent="0.25">
      <c r="A102" s="177" t="s">
        <v>229</v>
      </c>
      <c r="B102" s="177"/>
      <c r="C102" s="177"/>
      <c r="D102" s="177"/>
      <c r="E102" s="177"/>
      <c r="F102" s="177"/>
      <c r="G102" s="177"/>
      <c r="H102" s="177"/>
      <c r="I102" s="92"/>
    </row>
    <row r="103" spans="1:9" x14ac:dyDescent="0.25">
      <c r="A103" s="179" t="s">
        <v>230</v>
      </c>
      <c r="B103" s="179"/>
      <c r="C103" s="179"/>
      <c r="D103" s="179"/>
      <c r="E103" s="179"/>
      <c r="F103" s="179"/>
      <c r="G103" s="179"/>
      <c r="H103" s="179"/>
      <c r="I103" s="92"/>
    </row>
    <row r="104" spans="1:9" x14ac:dyDescent="0.25">
      <c r="A104" s="178" t="s">
        <v>231</v>
      </c>
      <c r="B104" s="178"/>
      <c r="C104" s="178"/>
      <c r="D104" s="178"/>
      <c r="E104" s="178"/>
      <c r="F104" s="178"/>
      <c r="G104" s="178"/>
      <c r="H104" s="178"/>
      <c r="I104" s="92"/>
    </row>
    <row r="105" spans="1:9" x14ac:dyDescent="0.25">
      <c r="A105" s="178"/>
      <c r="B105" s="178"/>
      <c r="C105" s="178"/>
      <c r="D105" s="178"/>
      <c r="E105" s="178"/>
      <c r="F105" s="178"/>
      <c r="G105" s="178"/>
      <c r="H105" s="178"/>
      <c r="I105" s="92"/>
    </row>
    <row r="106" spans="1:9" x14ac:dyDescent="0.25">
      <c r="A106" s="183" t="s">
        <v>232</v>
      </c>
      <c r="B106" s="178"/>
      <c r="C106" s="178"/>
      <c r="D106" s="178"/>
      <c r="E106" s="178"/>
      <c r="F106" s="178"/>
      <c r="G106" s="178"/>
      <c r="H106" s="178"/>
      <c r="I106" s="94"/>
    </row>
    <row r="107" spans="1:9" x14ac:dyDescent="0.25">
      <c r="A107" s="181" t="s">
        <v>233</v>
      </c>
      <c r="B107" s="181"/>
      <c r="C107" s="181"/>
      <c r="D107" s="181"/>
      <c r="E107" s="181"/>
      <c r="F107" s="181"/>
      <c r="G107" s="181"/>
      <c r="H107" s="181"/>
      <c r="I107" s="94"/>
    </row>
    <row r="108" spans="1:9" x14ac:dyDescent="0.25">
      <c r="A108" s="181" t="s">
        <v>234</v>
      </c>
      <c r="B108" s="181"/>
      <c r="C108" s="181"/>
      <c r="D108" s="181"/>
      <c r="E108" s="181"/>
      <c r="F108" s="181"/>
      <c r="G108" s="181"/>
      <c r="H108" s="181"/>
      <c r="I108" s="94"/>
    </row>
    <row r="109" spans="1:9" x14ac:dyDescent="0.25">
      <c r="A109" s="180" t="s">
        <v>235</v>
      </c>
      <c r="B109" s="180"/>
      <c r="C109" s="180"/>
      <c r="D109" s="180"/>
      <c r="E109" s="180"/>
      <c r="F109" s="180"/>
      <c r="G109" s="180"/>
      <c r="H109" s="180"/>
      <c r="I109" s="92"/>
    </row>
    <row r="110" spans="1:9" x14ac:dyDescent="0.25">
      <c r="A110" s="181" t="s">
        <v>236</v>
      </c>
      <c r="B110" s="181"/>
      <c r="C110" s="181"/>
      <c r="D110" s="181"/>
      <c r="E110" s="181"/>
      <c r="F110" s="181"/>
      <c r="G110" s="181"/>
      <c r="H110" s="181"/>
      <c r="I110" s="92"/>
    </row>
    <row r="111" spans="1:9" ht="15.75" x14ac:dyDescent="0.25">
      <c r="A111" s="182" t="s">
        <v>237</v>
      </c>
      <c r="B111" s="182"/>
      <c r="C111" s="182"/>
      <c r="D111" s="182"/>
      <c r="E111" s="182"/>
      <c r="F111" s="182"/>
      <c r="G111" s="182"/>
      <c r="H111" s="182"/>
      <c r="I111" s="15"/>
    </row>
    <row r="112" spans="1:9" ht="15.75" x14ac:dyDescent="0.25">
      <c r="A112" s="182"/>
      <c r="B112" s="182"/>
      <c r="C112" s="182"/>
      <c r="D112" s="182"/>
      <c r="E112" s="182"/>
      <c r="F112" s="182"/>
      <c r="G112" s="182"/>
      <c r="H112" s="182"/>
      <c r="I112" s="15"/>
    </row>
    <row r="113" spans="1:9" ht="15.75" x14ac:dyDescent="0.25">
      <c r="A113" s="95"/>
      <c r="B113" s="15"/>
      <c r="C113" s="15"/>
      <c r="D113" s="15"/>
      <c r="E113" s="15"/>
      <c r="F113" s="15"/>
      <c r="G113" s="15"/>
      <c r="H113" s="15"/>
      <c r="I113" s="15"/>
    </row>
    <row r="114" spans="1:9" ht="15.75" x14ac:dyDescent="0.25">
      <c r="A114" s="95"/>
      <c r="B114" s="15"/>
      <c r="C114" s="15"/>
      <c r="D114" s="15"/>
      <c r="E114" s="15"/>
      <c r="F114" s="15"/>
      <c r="G114" s="15"/>
      <c r="H114" s="15"/>
      <c r="I114" s="15"/>
    </row>
    <row r="115" spans="1:9" ht="15.75" x14ac:dyDescent="0.25">
      <c r="A115" s="95"/>
      <c r="B115" s="15"/>
      <c r="C115" s="15"/>
      <c r="D115" s="15"/>
      <c r="E115" s="15"/>
      <c r="F115" s="15"/>
      <c r="G115" s="15"/>
      <c r="H115" s="15"/>
      <c r="I115" s="96"/>
    </row>
  </sheetData>
  <mergeCells count="185">
    <mergeCell ref="A109:H109"/>
    <mergeCell ref="A110:H110"/>
    <mergeCell ref="A111:H111"/>
    <mergeCell ref="A112:H112"/>
    <mergeCell ref="A103:H103"/>
    <mergeCell ref="A104:H104"/>
    <mergeCell ref="A105:H105"/>
    <mergeCell ref="A106:H106"/>
    <mergeCell ref="A107:H107"/>
    <mergeCell ref="A108:H108"/>
    <mergeCell ref="A97:H97"/>
    <mergeCell ref="A98:H98"/>
    <mergeCell ref="A99:H99"/>
    <mergeCell ref="A100:H100"/>
    <mergeCell ref="A101:H101"/>
    <mergeCell ref="A102:H102"/>
    <mergeCell ref="A91:F91"/>
    <mergeCell ref="A92:F92"/>
    <mergeCell ref="A93:H93"/>
    <mergeCell ref="A94:H94"/>
    <mergeCell ref="A95:H95"/>
    <mergeCell ref="A96:H96"/>
    <mergeCell ref="A87:B87"/>
    <mergeCell ref="A88:C88"/>
    <mergeCell ref="E88:G88"/>
    <mergeCell ref="A89:C89"/>
    <mergeCell ref="E89:G89"/>
    <mergeCell ref="A90:G90"/>
    <mergeCell ref="A85:B85"/>
    <mergeCell ref="C85:D85"/>
    <mergeCell ref="E85:F85"/>
    <mergeCell ref="A86:B86"/>
    <mergeCell ref="C86:D86"/>
    <mergeCell ref="E86:F86"/>
    <mergeCell ref="A83:B83"/>
    <mergeCell ref="C83:D83"/>
    <mergeCell ref="E83:F83"/>
    <mergeCell ref="A84:B84"/>
    <mergeCell ref="C84:D84"/>
    <mergeCell ref="E84:F84"/>
    <mergeCell ref="A80:B80"/>
    <mergeCell ref="C80:E80"/>
    <mergeCell ref="A81:B81"/>
    <mergeCell ref="C81:E81"/>
    <mergeCell ref="A82:C82"/>
    <mergeCell ref="E82:H82"/>
    <mergeCell ref="C75:D75"/>
    <mergeCell ref="C76:D76"/>
    <mergeCell ref="C77:G77"/>
    <mergeCell ref="A78:H78"/>
    <mergeCell ref="A79:C79"/>
    <mergeCell ref="E79:H79"/>
    <mergeCell ref="A71:C71"/>
    <mergeCell ref="A72:H72"/>
    <mergeCell ref="A73:B73"/>
    <mergeCell ref="C73:D73"/>
    <mergeCell ref="E73:H73"/>
    <mergeCell ref="C74:D74"/>
    <mergeCell ref="A65:C65"/>
    <mergeCell ref="A66:C66"/>
    <mergeCell ref="A67:C67"/>
    <mergeCell ref="A68:C68"/>
    <mergeCell ref="A69:C69"/>
    <mergeCell ref="A70:C70"/>
    <mergeCell ref="A59:C59"/>
    <mergeCell ref="A60:C60"/>
    <mergeCell ref="A61:C61"/>
    <mergeCell ref="A62:C62"/>
    <mergeCell ref="E62:G62"/>
    <mergeCell ref="A63:G63"/>
    <mergeCell ref="A54:B54"/>
    <mergeCell ref="G54:H54"/>
    <mergeCell ref="G55:H55"/>
    <mergeCell ref="A56:C56"/>
    <mergeCell ref="A57:C57"/>
    <mergeCell ref="A58:C58"/>
    <mergeCell ref="E49:G49"/>
    <mergeCell ref="A50:H50"/>
    <mergeCell ref="A51:B51"/>
    <mergeCell ref="G51:H51"/>
    <mergeCell ref="G52:H52"/>
    <mergeCell ref="A53:H53"/>
    <mergeCell ref="C45:D45"/>
    <mergeCell ref="C46:D46"/>
    <mergeCell ref="C47:D47"/>
    <mergeCell ref="C48:D48"/>
    <mergeCell ref="A49:B49"/>
    <mergeCell ref="C49:D49"/>
    <mergeCell ref="A38:D38"/>
    <mergeCell ref="F38:G38"/>
    <mergeCell ref="A39:B39"/>
    <mergeCell ref="C39:D39"/>
    <mergeCell ref="A40:B48"/>
    <mergeCell ref="C40:D40"/>
    <mergeCell ref="C41:D41"/>
    <mergeCell ref="C42:D42"/>
    <mergeCell ref="C43:D43"/>
    <mergeCell ref="C44:D44"/>
    <mergeCell ref="A35:B35"/>
    <mergeCell ref="C35:G35"/>
    <mergeCell ref="A36:B36"/>
    <mergeCell ref="C36:G36"/>
    <mergeCell ref="A37:D37"/>
    <mergeCell ref="F37:G37"/>
    <mergeCell ref="A32:B32"/>
    <mergeCell ref="C32:G32"/>
    <mergeCell ref="A33:B33"/>
    <mergeCell ref="C33:G33"/>
    <mergeCell ref="A34:B34"/>
    <mergeCell ref="C34:G34"/>
    <mergeCell ref="A28:G28"/>
    <mergeCell ref="A29:B29"/>
    <mergeCell ref="C29:G29"/>
    <mergeCell ref="A30:B30"/>
    <mergeCell ref="C30:G30"/>
    <mergeCell ref="A31:B31"/>
    <mergeCell ref="C31:G31"/>
    <mergeCell ref="A26:B26"/>
    <mergeCell ref="C26:D26"/>
    <mergeCell ref="E26:F26"/>
    <mergeCell ref="A27:B27"/>
    <mergeCell ref="C27:D27"/>
    <mergeCell ref="E27:F27"/>
    <mergeCell ref="A24:B24"/>
    <mergeCell ref="C24:D24"/>
    <mergeCell ref="E24:F24"/>
    <mergeCell ref="A25:B25"/>
    <mergeCell ref="C25:D25"/>
    <mergeCell ref="E25:F25"/>
    <mergeCell ref="A22:B22"/>
    <mergeCell ref="C22:D22"/>
    <mergeCell ref="E22:F22"/>
    <mergeCell ref="A23:B23"/>
    <mergeCell ref="C23:D23"/>
    <mergeCell ref="E23:F23"/>
    <mergeCell ref="A20:B20"/>
    <mergeCell ref="C20:D20"/>
    <mergeCell ref="E20:F20"/>
    <mergeCell ref="A21:B21"/>
    <mergeCell ref="C21:D21"/>
    <mergeCell ref="E21:F21"/>
    <mergeCell ref="A18:B18"/>
    <mergeCell ref="C18:D18"/>
    <mergeCell ref="E18:F18"/>
    <mergeCell ref="A19:B19"/>
    <mergeCell ref="C19:D19"/>
    <mergeCell ref="E19:F19"/>
    <mergeCell ref="A16:B16"/>
    <mergeCell ref="C16:D16"/>
    <mergeCell ref="E16:F16"/>
    <mergeCell ref="A17:B17"/>
    <mergeCell ref="C17:D17"/>
    <mergeCell ref="E17:F17"/>
    <mergeCell ref="A14:B14"/>
    <mergeCell ref="C14:D14"/>
    <mergeCell ref="E14:F14"/>
    <mergeCell ref="A15:B15"/>
    <mergeCell ref="C15:D15"/>
    <mergeCell ref="E15:F15"/>
    <mergeCell ref="A12:B12"/>
    <mergeCell ref="C12:D12"/>
    <mergeCell ref="E12:F12"/>
    <mergeCell ref="A13:B13"/>
    <mergeCell ref="C13:D13"/>
    <mergeCell ref="E13:F13"/>
    <mergeCell ref="A10:B10"/>
    <mergeCell ref="C10:D10"/>
    <mergeCell ref="E10:F10"/>
    <mergeCell ref="A11:B11"/>
    <mergeCell ref="C11:D11"/>
    <mergeCell ref="E11:F11"/>
    <mergeCell ref="A6:B6"/>
    <mergeCell ref="C6:D6"/>
    <mergeCell ref="E6:F6"/>
    <mergeCell ref="G6:H6"/>
    <mergeCell ref="E8:F8"/>
    <mergeCell ref="A9:B9"/>
    <mergeCell ref="C9:D9"/>
    <mergeCell ref="E9:F9"/>
    <mergeCell ref="B1:H1"/>
    <mergeCell ref="A2:H2"/>
    <mergeCell ref="A3:H3"/>
    <mergeCell ref="A4:B4"/>
    <mergeCell ref="C4:D4"/>
    <mergeCell ref="A5:H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9"/>
  <sheetViews>
    <sheetView workbookViewId="0">
      <selection activeCell="C22" sqref="C22"/>
    </sheetView>
  </sheetViews>
  <sheetFormatPr defaultRowHeight="15" x14ac:dyDescent="0.25"/>
  <cols>
    <col min="1" max="1" width="26.5703125" customWidth="1"/>
    <col min="2" max="2" width="10.42578125" hidden="1" customWidth="1"/>
    <col min="3" max="3" width="12" customWidth="1"/>
  </cols>
  <sheetData>
    <row r="1" spans="1:6" x14ac:dyDescent="0.25">
      <c r="B1" t="s">
        <v>238</v>
      </c>
      <c r="C1" t="s">
        <v>238</v>
      </c>
      <c r="E1" t="s">
        <v>243</v>
      </c>
      <c r="F1" s="102">
        <v>0.03</v>
      </c>
    </row>
    <row r="2" spans="1:6" x14ac:dyDescent="0.25">
      <c r="B2" t="s">
        <v>240</v>
      </c>
      <c r="C2" t="s">
        <v>267</v>
      </c>
    </row>
    <row r="3" spans="1:6" x14ac:dyDescent="0.25">
      <c r="A3" t="s">
        <v>239</v>
      </c>
    </row>
    <row r="4" spans="1:6" x14ac:dyDescent="0.25">
      <c r="A4" t="s">
        <v>268</v>
      </c>
      <c r="B4" s="97">
        <v>50210.239999999998</v>
      </c>
      <c r="C4" s="103">
        <v>53550</v>
      </c>
    </row>
    <row r="5" spans="1:6" x14ac:dyDescent="0.25">
      <c r="A5" t="s">
        <v>269</v>
      </c>
      <c r="B5" s="97">
        <v>50201.24</v>
      </c>
      <c r="C5" s="103">
        <v>48000</v>
      </c>
    </row>
    <row r="6" spans="1:6" x14ac:dyDescent="0.25">
      <c r="A6" t="s">
        <v>270</v>
      </c>
      <c r="B6" s="97">
        <v>51001.16</v>
      </c>
      <c r="C6" s="103">
        <v>49500</v>
      </c>
    </row>
    <row r="7" spans="1:6" x14ac:dyDescent="0.25">
      <c r="A7" t="s">
        <v>271</v>
      </c>
      <c r="B7" s="97"/>
      <c r="C7" s="103">
        <v>47500</v>
      </c>
    </row>
    <row r="8" spans="1:6" x14ac:dyDescent="0.25">
      <c r="A8" t="s">
        <v>272</v>
      </c>
      <c r="B8" s="97"/>
      <c r="C8" s="103">
        <v>47500</v>
      </c>
    </row>
    <row r="9" spans="1:6" x14ac:dyDescent="0.25">
      <c r="A9" t="s">
        <v>273</v>
      </c>
      <c r="B9" s="97">
        <v>52001</v>
      </c>
      <c r="C9" s="103">
        <v>50000</v>
      </c>
    </row>
    <row r="10" spans="1:6" x14ac:dyDescent="0.25">
      <c r="A10" t="s">
        <v>244</v>
      </c>
      <c r="B10" s="97"/>
      <c r="C10" s="103">
        <v>0</v>
      </c>
    </row>
    <row r="11" spans="1:6" x14ac:dyDescent="0.25">
      <c r="B11" s="98">
        <f>SUM(B4:B10)</f>
        <v>203413.64</v>
      </c>
      <c r="C11" s="98">
        <f>SUM(C4:C10)</f>
        <v>296050</v>
      </c>
    </row>
    <row r="12" spans="1:6" x14ac:dyDescent="0.25">
      <c r="B12" s="97"/>
    </row>
    <row r="13" spans="1:6" x14ac:dyDescent="0.25">
      <c r="A13" t="s">
        <v>274</v>
      </c>
      <c r="B13" s="97">
        <v>35520</v>
      </c>
      <c r="C13" s="103">
        <v>42000</v>
      </c>
    </row>
    <row r="14" spans="1:6" x14ac:dyDescent="0.25">
      <c r="A14" t="s">
        <v>275</v>
      </c>
      <c r="B14" s="97">
        <v>32640</v>
      </c>
      <c r="C14" s="103">
        <v>32400</v>
      </c>
    </row>
    <row r="15" spans="1:6" x14ac:dyDescent="0.25">
      <c r="A15" t="s">
        <v>276</v>
      </c>
      <c r="B15" s="97">
        <v>33100</v>
      </c>
      <c r="C15" s="103">
        <v>32400</v>
      </c>
    </row>
    <row r="16" spans="1:6" x14ac:dyDescent="0.25">
      <c r="A16" t="s">
        <v>277</v>
      </c>
      <c r="B16" s="97">
        <v>28800</v>
      </c>
      <c r="C16" s="103">
        <v>28800</v>
      </c>
    </row>
    <row r="17" spans="1:3" x14ac:dyDescent="0.25">
      <c r="A17" t="s">
        <v>278</v>
      </c>
      <c r="B17" s="97">
        <v>28800</v>
      </c>
      <c r="C17" s="103">
        <v>28800</v>
      </c>
    </row>
    <row r="18" spans="1:3" x14ac:dyDescent="0.25">
      <c r="A18" t="s">
        <v>279</v>
      </c>
      <c r="B18" s="97">
        <v>28800</v>
      </c>
      <c r="C18" s="103">
        <v>14400</v>
      </c>
    </row>
    <row r="19" spans="1:3" x14ac:dyDescent="0.25">
      <c r="A19" t="s">
        <v>245</v>
      </c>
      <c r="B19" s="97">
        <v>41299.919999999998</v>
      </c>
      <c r="C19" s="103">
        <v>0</v>
      </c>
    </row>
    <row r="20" spans="1:3" x14ac:dyDescent="0.25">
      <c r="B20" s="98">
        <f>SUM(B13:B19)</f>
        <v>228959.91999999998</v>
      </c>
      <c r="C20" s="98">
        <f>SUM(C13:C19)</f>
        <v>178800</v>
      </c>
    </row>
    <row r="24" spans="1:3" x14ac:dyDescent="0.25">
      <c r="A24" t="s">
        <v>265</v>
      </c>
      <c r="B24" s="97">
        <v>85000</v>
      </c>
      <c r="C24" s="103">
        <v>80000</v>
      </c>
    </row>
    <row r="25" spans="1:3" x14ac:dyDescent="0.25">
      <c r="A25" t="s">
        <v>266</v>
      </c>
      <c r="B25" s="97"/>
      <c r="C25" s="103">
        <v>65000</v>
      </c>
    </row>
    <row r="26" spans="1:3" x14ac:dyDescent="0.25">
      <c r="B26" s="98">
        <f t="shared" ref="B26:C26" si="0">+B24</f>
        <v>85000</v>
      </c>
      <c r="C26" s="98">
        <f>+C24+C25</f>
        <v>145000</v>
      </c>
    </row>
    <row r="29" spans="1:3" x14ac:dyDescent="0.25">
      <c r="B29" s="97">
        <f>+B11+B20+B26</f>
        <v>517373.56</v>
      </c>
      <c r="C29" s="97">
        <f>+C11+C20+C26</f>
        <v>619850</v>
      </c>
    </row>
  </sheetData>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vt:lpstr>
      <vt:lpstr>FEFP</vt:lpstr>
      <vt:lpstr>Salaries</vt:lpstr>
      <vt:lpstr>Budget!Print_Titles</vt:lpstr>
    </vt:vector>
  </TitlesOfParts>
  <Company>Amazon.com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Mestre</dc:creator>
  <cp:lastModifiedBy>Rafael Mestre</cp:lastModifiedBy>
  <cp:lastPrinted>2022-08-08T15:01:06Z</cp:lastPrinted>
  <dcterms:created xsi:type="dcterms:W3CDTF">2021-07-19T20:02:30Z</dcterms:created>
  <dcterms:modified xsi:type="dcterms:W3CDTF">2023-11-14T22:12:26Z</dcterms:modified>
</cp:coreProperties>
</file>